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embeddings/oleObject2.bin" ContentType="application/vnd.openxmlformats-officedocument.oleObject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788" yWindow="192" windowWidth="7716" windowHeight="8196"/>
  </bookViews>
  <sheets>
    <sheet name="MainEntry&amp;Data" sheetId="4" r:id="rId1"/>
    <sheet name="Calcs" sheetId="6" r:id="rId2"/>
    <sheet name="StoredResults" sheetId="7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Cu">[1]Elements!$C$26</definedName>
    <definedName name="Dy">[1]Elements!$C$27</definedName>
    <definedName name="Er">[1]Elements!$C$28</definedName>
    <definedName name="Eu">[1]Elements!$C$29</definedName>
    <definedName name="ex">#REF!</definedName>
    <definedName name="F">[1]Elements!$C$30</definedName>
    <definedName name="Fe">[1]Elements!$C$31</definedName>
    <definedName name="Fr">[1]Elements!$C$32</definedName>
    <definedName name="Ga">[1]Elements!$C$33</definedName>
    <definedName name="Gd">[1]Elements!$C$34</definedName>
    <definedName name="Ge">[1]Elements!$C$35</definedName>
    <definedName name="H">[1]Elements!$C$36</definedName>
    <definedName name="He">[1]Elements!$C$37</definedName>
    <definedName name="Hf">[1]Elements!$C$38</definedName>
    <definedName name="Hg">[1]Elements!$C$39</definedName>
    <definedName name="Ho">[1]Elements!$C$40</definedName>
    <definedName name="HX">#REF!</definedName>
    <definedName name="I">[1]Elements!$C$41</definedName>
    <definedName name="In">[1]Elements!$C$42</definedName>
    <definedName name="Ir">[1]Elements!$C$43</definedName>
    <definedName name="K">[1]Elements!$C$44</definedName>
    <definedName name="Kr">[1]Elements!$C$45</definedName>
    <definedName name="Krx">'[2]SO2+O2'!$C$4</definedName>
    <definedName name="La">[1]Elements!$C$46</definedName>
    <definedName name="Li">[1]Elements!$C$47</definedName>
    <definedName name="Lu">[1]Elements!$C$48</definedName>
    <definedName name="Mg">[1]Elements!$C$49</definedName>
    <definedName name="Mn">[1]Elements!$C$50</definedName>
    <definedName name="Mo">[1]Elements!$C$51</definedName>
    <definedName name="MolsSO3">'[2]SO2+O2'!$C$6:$I$6</definedName>
    <definedName name="N">[1]Elements!$C$52</definedName>
    <definedName name="Na">[1]Elements!$C$53</definedName>
    <definedName name="Nb">[1]Elements!$C$54</definedName>
    <definedName name="Nd">[1]Elements!$C$55</definedName>
    <definedName name="Ne">[1]Elements!$C$56</definedName>
    <definedName name="NGEqns">#REF!</definedName>
    <definedName name="NGRfrm">#REF!</definedName>
    <definedName name="Ni">[1]Elements!$C$57</definedName>
    <definedName name="Np">[1]Elements!$C$58</definedName>
    <definedName name="O">[1]Elements!$C$59</definedName>
    <definedName name="Os">[1]Elements!$C$60</definedName>
    <definedName name="P">[1]Elements!$C$61</definedName>
    <definedName name="Pa">[1]Elements!$C$62</definedName>
    <definedName name="Pb">[1]Elements!$C$63</definedName>
    <definedName name="PbCond">[3]ZnCond!$A$39</definedName>
    <definedName name="PbCond2">[4]ZnCond!#REF!</definedName>
    <definedName name="Pd">[1]Elements!$C$64</definedName>
    <definedName name="Pm">[1]Elements!$C$65</definedName>
    <definedName name="Po">[1]Elements!$C$66</definedName>
    <definedName name="Pr">[1]Elements!$C$67</definedName>
    <definedName name="PressUnit">'[5]Title and Units panel'!$N$37</definedName>
    <definedName name="Pressure">'[2]SO2+O2'!$C$5:$I$5</definedName>
    <definedName name="Pt">[1]Elements!$C$68</definedName>
    <definedName name="Pu">[1]Elements!$C$69</definedName>
    <definedName name="QtyUnit">'[5]Title and Units panel'!$K$37</definedName>
    <definedName name="Ra">[1]Elements!$C$70</definedName>
    <definedName name="Rb">[1]Elements!$C$71</definedName>
    <definedName name="Re">[1]Elements!$C$72</definedName>
    <definedName name="Rh">[1]Elements!$C$73</definedName>
    <definedName name="Rn">[1]Elements!$C$74</definedName>
    <definedName name="Ru">[1]Elements!$C$75</definedName>
    <definedName name="S">[1]Elements!$C$76</definedName>
    <definedName name="Sb">[1]Elements!$C$77</definedName>
    <definedName name="Sc">[1]Elements!$C$78</definedName>
    <definedName name="Se">[1]Elements!$C$79</definedName>
    <definedName name="Si">[1]Elements!$C$80</definedName>
    <definedName name="Sm">[1]Elements!$C$81</definedName>
    <definedName name="Sn">[1]Elements!$C$82</definedName>
    <definedName name="Sr">[1]Elements!$C$83</definedName>
    <definedName name="Ta">[1]Elements!$C$84</definedName>
    <definedName name="Tb">[1]Elements!$C$85</definedName>
    <definedName name="Tc">[1]Elements!$C$86</definedName>
    <definedName name="Te">[1]Elements!$C$87</definedName>
    <definedName name="Th">[1]Elements!$C$88</definedName>
    <definedName name="Ti">[1]Elements!$C$89</definedName>
    <definedName name="Tl">[1]Elements!$C$90</definedName>
    <definedName name="Tm">[1]Elements!$C$91</definedName>
    <definedName name="U">[1]Elements!$C$92</definedName>
    <definedName name="V">[1]Elements!$C$93</definedName>
    <definedName name="W">[1]Elements!$C$94</definedName>
    <definedName name="x">#REF!</definedName>
    <definedName name="xe">#REF!</definedName>
    <definedName name="xx">#REF!</definedName>
    <definedName name="Y">[1]Elements!$C$96</definedName>
    <definedName name="Yb">[1]Elements!$C$97</definedName>
    <definedName name="Zn">[1]Elements!$C$98</definedName>
    <definedName name="ZnCond">[3]ZnCond!$A$1</definedName>
    <definedName name="ZnPbFinal">[4]ZnCond!#REF!</definedName>
    <definedName name="Zr">[1]Elements!$C$99</definedName>
  </definedNames>
  <calcPr calcId="145621"/>
</workbook>
</file>

<file path=xl/calcChain.xml><?xml version="1.0" encoding="utf-8"?>
<calcChain xmlns="http://schemas.openxmlformats.org/spreadsheetml/2006/main">
  <c r="I42" i="6" l="1"/>
  <c r="I41" i="6"/>
  <c r="I40" i="6"/>
  <c r="M33" i="6"/>
  <c r="F18" i="6" l="1"/>
  <c r="G18" i="6" s="1"/>
  <c r="F16" i="6"/>
  <c r="G16" i="6" s="1"/>
  <c r="F15" i="6"/>
  <c r="F14" i="6"/>
  <c r="F13" i="6"/>
  <c r="F12" i="6"/>
  <c r="F11" i="6"/>
  <c r="F10" i="6"/>
  <c r="I10" i="6" s="1"/>
  <c r="AX9" i="6"/>
  <c r="AW9" i="6"/>
  <c r="AV9" i="6"/>
  <c r="F9" i="6"/>
  <c r="I9" i="6" s="1"/>
  <c r="AU8" i="6"/>
  <c r="F8" i="6"/>
  <c r="S6" i="6"/>
  <c r="S33" i="6" s="1"/>
  <c r="M5" i="6"/>
  <c r="K44" i="4"/>
  <c r="K43" i="4"/>
  <c r="K42" i="4"/>
  <c r="K41" i="4"/>
  <c r="K40" i="4"/>
  <c r="K39" i="4"/>
  <c r="K38" i="4"/>
  <c r="I29" i="4"/>
  <c r="J29" i="4" s="1"/>
  <c r="E29" i="4"/>
  <c r="F17" i="6" s="1"/>
  <c r="N31" i="4"/>
  <c r="M31" i="4"/>
  <c r="I28" i="4"/>
  <c r="J28" i="4" s="1"/>
  <c r="I27" i="4"/>
  <c r="J27" i="4" s="1"/>
  <c r="E21" i="6" l="1"/>
  <c r="H16" i="6" s="1"/>
  <c r="G9" i="6"/>
  <c r="J31" i="4"/>
  <c r="I30" i="4"/>
  <c r="J30" i="4" s="1"/>
  <c r="G10" i="6"/>
  <c r="G25" i="6"/>
  <c r="H25" i="6" s="1"/>
  <c r="I31" i="4"/>
  <c r="I18" i="6"/>
  <c r="O6" i="6"/>
  <c r="O33" i="6" s="1"/>
  <c r="AU12" i="6"/>
  <c r="AU11" i="6"/>
  <c r="M9" i="6"/>
  <c r="K22" i="4" s="1"/>
  <c r="M8" i="6"/>
  <c r="I8" i="6"/>
  <c r="I12" i="6"/>
  <c r="G12" i="6"/>
  <c r="I14" i="6"/>
  <c r="G14" i="6"/>
  <c r="G8" i="6"/>
  <c r="I11" i="6"/>
  <c r="G11" i="6"/>
  <c r="I13" i="6"/>
  <c r="G13" i="6"/>
  <c r="G24" i="6"/>
  <c r="H24" i="6" s="1"/>
  <c r="G15" i="6"/>
  <c r="G17" i="6"/>
  <c r="AU18" i="6"/>
  <c r="M20" i="6"/>
  <c r="M21" i="6"/>
  <c r="R6" i="6"/>
  <c r="R33" i="6" s="1"/>
  <c r="P6" i="6"/>
  <c r="P33" i="6" s="1"/>
  <c r="N6" i="6"/>
  <c r="N33" i="6" s="1"/>
  <c r="T31" i="4"/>
  <c r="Q6" i="6"/>
  <c r="Q33" i="6" s="1"/>
  <c r="H10" i="6" l="1"/>
  <c r="H17" i="6"/>
  <c r="H14" i="6"/>
  <c r="H12" i="6"/>
  <c r="H9" i="6"/>
  <c r="P31" i="4"/>
  <c r="I20" i="6"/>
  <c r="H15" i="6"/>
  <c r="H13" i="6"/>
  <c r="H11" i="6"/>
  <c r="H8" i="6"/>
  <c r="H18" i="6"/>
  <c r="M39" i="6"/>
  <c r="M37" i="6"/>
  <c r="M38" i="6"/>
  <c r="R21" i="6"/>
  <c r="P21" i="6"/>
  <c r="N21" i="6"/>
  <c r="Q21" i="6"/>
  <c r="S21" i="6"/>
  <c r="O21" i="6"/>
  <c r="M10" i="6"/>
  <c r="M11" i="6"/>
  <c r="AU13" i="6"/>
  <c r="AU14" i="6" s="1"/>
  <c r="S11" i="6"/>
  <c r="O11" i="6"/>
  <c r="G26" i="6"/>
  <c r="H26" i="6" s="1"/>
  <c r="AX14" i="6"/>
  <c r="M35" i="6"/>
  <c r="M36" i="6"/>
  <c r="M34" i="6"/>
  <c r="R20" i="6"/>
  <c r="P20" i="6"/>
  <c r="N20" i="6"/>
  <c r="Q20" i="6"/>
  <c r="S20" i="6"/>
  <c r="O20" i="6"/>
  <c r="P11" i="6"/>
  <c r="P17" i="6" s="1"/>
  <c r="Q31" i="4"/>
  <c r="O22" i="6"/>
  <c r="Q11" i="6"/>
  <c r="Q17" i="6" s="1"/>
  <c r="R31" i="4"/>
  <c r="O31" i="4"/>
  <c r="N11" i="6"/>
  <c r="N17" i="6" s="1"/>
  <c r="S31" i="4"/>
  <c r="R11" i="6"/>
  <c r="R17" i="6" s="1"/>
  <c r="M50" i="6" l="1"/>
  <c r="M17" i="6"/>
  <c r="O50" i="6"/>
  <c r="O17" i="6"/>
  <c r="S50" i="6"/>
  <c r="S17" i="6"/>
  <c r="R18" i="6"/>
  <c r="R50" i="6"/>
  <c r="N18" i="6"/>
  <c r="N50" i="6"/>
  <c r="Q50" i="6"/>
  <c r="S22" i="6"/>
  <c r="S42" i="6" s="1"/>
  <c r="P50" i="6"/>
  <c r="S12" i="6"/>
  <c r="S13" i="6" s="1"/>
  <c r="S18" i="6"/>
  <c r="O23" i="6"/>
  <c r="O45" i="6" s="1"/>
  <c r="O18" i="6"/>
  <c r="O12" i="6"/>
  <c r="O13" i="6" s="1"/>
  <c r="O35" i="6"/>
  <c r="O36" i="6"/>
  <c r="O34" i="6"/>
  <c r="Q35" i="6"/>
  <c r="Q36" i="6"/>
  <c r="Q34" i="6"/>
  <c r="AX16" i="6"/>
  <c r="AU16" i="6"/>
  <c r="AU17" i="6"/>
  <c r="AW14" i="6"/>
  <c r="AV14" i="6"/>
  <c r="AX17" i="6"/>
  <c r="S39" i="6"/>
  <c r="S37" i="6"/>
  <c r="S38" i="6"/>
  <c r="N38" i="6"/>
  <c r="N39" i="6"/>
  <c r="N37" i="6"/>
  <c r="R38" i="6"/>
  <c r="R39" i="6"/>
  <c r="R37" i="6"/>
  <c r="S23" i="6"/>
  <c r="S45" i="6" s="1"/>
  <c r="S35" i="6"/>
  <c r="S36" i="6"/>
  <c r="S34" i="6"/>
  <c r="N36" i="6"/>
  <c r="N34" i="6"/>
  <c r="N35" i="6"/>
  <c r="R36" i="6"/>
  <c r="R34" i="6"/>
  <c r="R35" i="6"/>
  <c r="AU19" i="6"/>
  <c r="AU20" i="6" s="1"/>
  <c r="AU21" i="6" s="1"/>
  <c r="AY14" i="6"/>
  <c r="AX19" i="6"/>
  <c r="AX20" i="6" s="1"/>
  <c r="AX21" i="6" s="1"/>
  <c r="M23" i="6"/>
  <c r="M18" i="6"/>
  <c r="M12" i="6"/>
  <c r="M22" i="6"/>
  <c r="O39" i="6"/>
  <c r="O37" i="6"/>
  <c r="O38" i="6"/>
  <c r="Q39" i="6"/>
  <c r="Q37" i="6"/>
  <c r="Q38" i="6"/>
  <c r="P38" i="6"/>
  <c r="P39" i="6"/>
  <c r="P37" i="6"/>
  <c r="P36" i="6"/>
  <c r="P34" i="6"/>
  <c r="P35" i="6"/>
  <c r="Q12" i="6"/>
  <c r="Q23" i="6"/>
  <c r="Q22" i="6"/>
  <c r="Q18" i="6"/>
  <c r="O41" i="6"/>
  <c r="O42" i="6"/>
  <c r="O40" i="6"/>
  <c r="S43" i="6"/>
  <c r="P23" i="6"/>
  <c r="P22" i="6"/>
  <c r="P18" i="6"/>
  <c r="P12" i="6"/>
  <c r="R23" i="6"/>
  <c r="R22" i="6"/>
  <c r="R12" i="6"/>
  <c r="N23" i="6"/>
  <c r="N22" i="6"/>
  <c r="N12" i="6"/>
  <c r="S40" i="6"/>
  <c r="S41" i="6" l="1"/>
  <c r="O44" i="6"/>
  <c r="O43" i="6"/>
  <c r="O47" i="6" s="1"/>
  <c r="S14" i="6"/>
  <c r="S27" i="6" s="1"/>
  <c r="S47" i="6"/>
  <c r="O14" i="6"/>
  <c r="O28" i="6" s="1"/>
  <c r="O48" i="6"/>
  <c r="M13" i="6"/>
  <c r="M14" i="6"/>
  <c r="M27" i="6" s="1"/>
  <c r="AY16" i="6"/>
  <c r="AY17" i="6"/>
  <c r="AY19" i="6"/>
  <c r="AY20" i="6" s="1"/>
  <c r="AY21" i="6" s="1"/>
  <c r="AX23" i="6"/>
  <c r="AX24" i="6" s="1"/>
  <c r="AX15" i="6"/>
  <c r="AW16" i="6"/>
  <c r="AW17" i="6"/>
  <c r="S49" i="6"/>
  <c r="S44" i="6"/>
  <c r="M41" i="6"/>
  <c r="M42" i="6"/>
  <c r="M40" i="6"/>
  <c r="AW19" i="6"/>
  <c r="AW20" i="6" s="1"/>
  <c r="AW21" i="6" s="1"/>
  <c r="AV16" i="6"/>
  <c r="AV17" i="6"/>
  <c r="AV19" i="6"/>
  <c r="AV20" i="6" s="1"/>
  <c r="AV21" i="6" s="1"/>
  <c r="AU23" i="6"/>
  <c r="AU24" i="6" s="1"/>
  <c r="AU15" i="6"/>
  <c r="M45" i="6"/>
  <c r="M43" i="6"/>
  <c r="M44" i="6"/>
  <c r="N44" i="6"/>
  <c r="N45" i="6"/>
  <c r="N43" i="6"/>
  <c r="R44" i="6"/>
  <c r="R45" i="6"/>
  <c r="R43" i="6"/>
  <c r="P44" i="6"/>
  <c r="P45" i="6"/>
  <c r="P43" i="6"/>
  <c r="O26" i="6"/>
  <c r="O25" i="6"/>
  <c r="Q41" i="6"/>
  <c r="Q42" i="6"/>
  <c r="Q40" i="6"/>
  <c r="Q13" i="6"/>
  <c r="Q14" i="6"/>
  <c r="Q28" i="6" s="1"/>
  <c r="N14" i="6"/>
  <c r="N28" i="6" s="1"/>
  <c r="N13" i="6"/>
  <c r="N42" i="6"/>
  <c r="N40" i="6"/>
  <c r="N41" i="6"/>
  <c r="R14" i="6"/>
  <c r="R27" i="6" s="1"/>
  <c r="R13" i="6"/>
  <c r="R42" i="6"/>
  <c r="R40" i="6"/>
  <c r="R41" i="6"/>
  <c r="P14" i="6"/>
  <c r="P28" i="6" s="1"/>
  <c r="P13" i="6"/>
  <c r="P42" i="6"/>
  <c r="P40" i="6"/>
  <c r="P27" i="6"/>
  <c r="P41" i="6"/>
  <c r="S26" i="6"/>
  <c r="S15" i="6"/>
  <c r="S16" i="6" s="1"/>
  <c r="S25" i="6"/>
  <c r="S28" i="6"/>
  <c r="O27" i="6"/>
  <c r="O49" i="6"/>
  <c r="Q45" i="6"/>
  <c r="Q43" i="6"/>
  <c r="Q44" i="6"/>
  <c r="P48" i="6" l="1"/>
  <c r="P47" i="6"/>
  <c r="N27" i="6"/>
  <c r="M28" i="6"/>
  <c r="S48" i="6"/>
  <c r="S52" i="6" s="1"/>
  <c r="T32" i="4" s="1"/>
  <c r="N48" i="6"/>
  <c r="N47" i="6"/>
  <c r="O52" i="6"/>
  <c r="P32" i="4" s="1"/>
  <c r="R48" i="6"/>
  <c r="R47" i="6"/>
  <c r="O15" i="6"/>
  <c r="O16" i="6" s="1"/>
  <c r="Q47" i="6"/>
  <c r="M47" i="6"/>
  <c r="Q49" i="6"/>
  <c r="Q27" i="6"/>
  <c r="AV23" i="6"/>
  <c r="AV24" i="6" s="1"/>
  <c r="AV15" i="6"/>
  <c r="M49" i="6"/>
  <c r="AW15" i="6"/>
  <c r="AW23" i="6"/>
  <c r="AW24" i="6" s="1"/>
  <c r="AY23" i="6"/>
  <c r="AY24" i="6" s="1"/>
  <c r="AY15" i="6"/>
  <c r="R49" i="6"/>
  <c r="M48" i="6"/>
  <c r="M15" i="6"/>
  <c r="M16" i="6" s="1"/>
  <c r="M26" i="6"/>
  <c r="M25" i="6"/>
  <c r="P49" i="6"/>
  <c r="P25" i="6"/>
  <c r="P26" i="6"/>
  <c r="P15" i="6"/>
  <c r="P16" i="6" s="1"/>
  <c r="N49" i="6"/>
  <c r="N25" i="6"/>
  <c r="N26" i="6"/>
  <c r="N15" i="6"/>
  <c r="N16" i="6" s="1"/>
  <c r="Q26" i="6"/>
  <c r="Q15" i="6"/>
  <c r="Q16" i="6" s="1"/>
  <c r="Q25" i="6"/>
  <c r="Q48" i="6"/>
  <c r="R25" i="6"/>
  <c r="R26" i="6"/>
  <c r="R15" i="6"/>
  <c r="R16" i="6" s="1"/>
  <c r="R28" i="6"/>
  <c r="P52" i="6" l="1"/>
  <c r="Q32" i="4" s="1"/>
  <c r="N52" i="6"/>
  <c r="O32" i="4" s="1"/>
  <c r="M52" i="6"/>
  <c r="N32" i="4" s="1"/>
  <c r="R52" i="6"/>
  <c r="S32" i="4" s="1"/>
  <c r="Q52" i="6"/>
  <c r="R32" i="4" s="1"/>
</calcChain>
</file>

<file path=xl/comments1.xml><?xml version="1.0" encoding="utf-8"?>
<comments xmlns="http://schemas.openxmlformats.org/spreadsheetml/2006/main">
  <authors>
    <author>thermart</author>
    <author>Art Morris</author>
    <author>Owner</author>
  </authors>
  <commentList>
    <comment ref="J16" authorId="0">
      <text>
        <r>
          <rPr>
            <b/>
            <sz val="9"/>
            <color indexed="81"/>
            <rFont val="Tahoma"/>
            <family val="2"/>
          </rPr>
          <t>Any non-zero value in cell L12 means that the process is non-adiabatic.</t>
        </r>
      </text>
    </comment>
    <comment ref="J19" authorId="0">
      <text>
        <r>
          <rPr>
            <sz val="10"/>
            <color indexed="81"/>
            <rFont val="Tahoma"/>
            <family val="2"/>
          </rPr>
          <t>The non-oxygen content is assumed to be entirely N2.</t>
        </r>
      </text>
    </comment>
    <comment ref="J20" authorId="0">
      <text>
        <r>
          <rPr>
            <sz val="10"/>
            <color indexed="81"/>
            <rFont val="Arial"/>
            <family val="2"/>
          </rPr>
          <t>You may enter any number here, but an upper limit from 80% to 120% will cover almost any practical application.</t>
        </r>
      </text>
    </comment>
    <comment ref="D24" authorId="1">
      <text>
        <r>
          <rPr>
            <sz val="10"/>
            <color indexed="81"/>
            <rFont val="Arial"/>
            <family val="2"/>
          </rPr>
          <t>C</t>
        </r>
        <r>
          <rPr>
            <sz val="8"/>
            <color indexed="81"/>
            <rFont val="Arial"/>
            <family val="2"/>
          </rPr>
          <t>4</t>
        </r>
        <r>
          <rPr>
            <sz val="10"/>
            <color indexed="81"/>
            <rFont val="Arial"/>
            <family val="2"/>
          </rPr>
          <t>H</t>
        </r>
        <r>
          <rPr>
            <sz val="8"/>
            <color indexed="81"/>
            <rFont val="Arial"/>
            <family val="2"/>
          </rPr>
          <t>10</t>
        </r>
        <r>
          <rPr>
            <sz val="10"/>
            <color indexed="81"/>
            <rFont val="Arial"/>
            <family val="2"/>
          </rPr>
          <t xml:space="preserve"> + higher hydrocarbons</t>
        </r>
      </text>
    </comment>
    <comment ref="E29" authorId="2">
      <text>
        <r>
          <rPr>
            <b/>
            <sz val="9"/>
            <color indexed="81"/>
            <rFont val="Tahoma"/>
            <family val="2"/>
          </rPr>
          <t>Value in this cell must be non-negative.</t>
        </r>
      </text>
    </comment>
    <comment ref="E31" authorId="0">
      <text>
        <r>
          <rPr>
            <b/>
            <sz val="9"/>
            <color indexed="81"/>
            <rFont val="Tahoma"/>
            <family val="2"/>
          </rPr>
          <t>This value should be either 0% or 100%.  The latter value calculates the AFT for burning graphite.</t>
        </r>
      </text>
    </comment>
    <comment ref="G46" authorId="0">
      <text>
        <r>
          <rPr>
            <b/>
            <sz val="9"/>
            <color indexed="81"/>
            <rFont val="Tahoma"/>
            <family val="2"/>
          </rPr>
          <t>Combustion of graphite to CO2.</t>
        </r>
      </text>
    </comment>
    <comment ref="G48" authorId="0">
      <text>
        <r>
          <rPr>
            <sz val="10"/>
            <color indexed="81"/>
            <rFont val="Arial"/>
            <family val="2"/>
          </rPr>
          <t>If you prefer to base your calculations on H</t>
        </r>
        <r>
          <rPr>
            <sz val="8"/>
            <color indexed="81"/>
            <rFont val="Arial"/>
            <family val="2"/>
          </rPr>
          <t>2</t>
        </r>
        <r>
          <rPr>
            <sz val="10"/>
            <color indexed="81"/>
            <rFont val="Arial"/>
            <family val="2"/>
          </rPr>
          <t>O(liq) as a combustion product, add -44,020 J for each  mole of water produced.</t>
        </r>
      </text>
    </comment>
  </commentList>
</comments>
</file>

<file path=xl/comments2.xml><?xml version="1.0" encoding="utf-8"?>
<comments xmlns="http://schemas.openxmlformats.org/spreadsheetml/2006/main">
  <authors>
    <author>Art Morris</author>
    <author>thermart</author>
    <author>Owner</author>
  </authors>
  <commentList>
    <comment ref="L8" authorId="0">
      <text>
        <r>
          <rPr>
            <sz val="11"/>
            <color indexed="81"/>
            <rFont val="Tahoma"/>
            <family val="2"/>
          </rPr>
          <t>Amount of CO</t>
        </r>
        <r>
          <rPr>
            <vertAlign val="subscript"/>
            <sz val="11"/>
            <color indexed="81"/>
            <rFont val="Tahoma"/>
            <family val="2"/>
          </rPr>
          <t>2</t>
        </r>
        <r>
          <rPr>
            <sz val="11"/>
            <color indexed="81"/>
            <rFont val="Tahoma"/>
            <family val="2"/>
          </rPr>
          <t xml:space="preserve"> &amp; H</t>
        </r>
        <r>
          <rPr>
            <vertAlign val="subscript"/>
            <sz val="11"/>
            <color indexed="81"/>
            <rFont val="Tahoma"/>
            <family val="2"/>
          </rPr>
          <t>2</t>
        </r>
        <r>
          <rPr>
            <sz val="11"/>
            <color indexed="81"/>
            <rFont val="Tahoma"/>
            <family val="2"/>
          </rPr>
          <t>O from combustion of the reactant species in 1 g-mol of natural gas, plus the "other" in the nat. gas.</t>
        </r>
      </text>
    </comment>
    <comment ref="L9" authorId="0">
      <text>
        <r>
          <rPr>
            <sz val="11"/>
            <color indexed="81"/>
            <rFont val="Tahoma"/>
            <family val="2"/>
          </rPr>
          <t>Amount of oxidant gas required to stoichiometrically combust the reactants in 1 g-mole of nat. gas.</t>
        </r>
      </text>
    </comment>
    <comment ref="L10" authorId="0">
      <text>
        <r>
          <rPr>
            <sz val="11"/>
            <color indexed="81"/>
            <rFont val="Tahoma"/>
            <family val="2"/>
          </rPr>
          <t xml:space="preserve">Amount of N2 present in the stoichiometric amount of oxidant gas.
</t>
        </r>
      </text>
    </comment>
    <comment ref="L11" authorId="0">
      <text>
        <r>
          <rPr>
            <sz val="11"/>
            <color indexed="81"/>
            <rFont val="Tahoma"/>
            <family val="2"/>
          </rPr>
          <t>Amount of oxidant gas that will give the stated % excess over stoichiometric.</t>
        </r>
      </text>
    </comment>
    <comment ref="AT11" authorId="0">
      <text>
        <r>
          <rPr>
            <sz val="11"/>
            <color indexed="81"/>
            <rFont val="Tahoma"/>
            <family val="2"/>
          </rPr>
          <t>Volume of CO2 + H2O from combustion of the hydrocarbon species in 1 volume unit of natural gas, plus the "other" in the nat. gas.</t>
        </r>
      </text>
    </comment>
    <comment ref="C12" authorId="0">
      <text>
        <r>
          <rPr>
            <sz val="10"/>
            <color indexed="81"/>
            <rFont val="Arial"/>
            <family val="2"/>
          </rPr>
          <t>C</t>
        </r>
        <r>
          <rPr>
            <sz val="8"/>
            <color indexed="81"/>
            <rFont val="Arial"/>
            <family val="2"/>
          </rPr>
          <t>4</t>
        </r>
        <r>
          <rPr>
            <sz val="10"/>
            <color indexed="81"/>
            <rFont val="Arial"/>
            <family val="2"/>
          </rPr>
          <t>H</t>
        </r>
        <r>
          <rPr>
            <sz val="8"/>
            <color indexed="81"/>
            <rFont val="Arial"/>
            <family val="2"/>
          </rPr>
          <t>10</t>
        </r>
        <r>
          <rPr>
            <sz val="10"/>
            <color indexed="81"/>
            <rFont val="Arial"/>
            <family val="2"/>
          </rPr>
          <t xml:space="preserve"> + higher hydrocarbons</t>
        </r>
      </text>
    </comment>
    <comment ref="L12" authorId="0">
      <text>
        <r>
          <rPr>
            <sz val="11"/>
            <color indexed="81"/>
            <rFont val="Tahoma"/>
            <family val="2"/>
          </rPr>
          <t>Amount of oxidant gas in excess of the stoichiometrically required quantity for oxidiation of 1 g-mol of nat. gas.</t>
        </r>
      </text>
    </comment>
    <comment ref="AT12" authorId="0">
      <text>
        <r>
          <rPr>
            <sz val="11"/>
            <color indexed="81"/>
            <rFont val="Tahoma"/>
            <family val="2"/>
          </rPr>
          <t>Volume of oxidant gas required to stoichiometrically combust the hydrocarbons in a volume unit of nat. gas.</t>
        </r>
      </text>
    </comment>
    <comment ref="AT13" authorId="0">
      <text>
        <r>
          <rPr>
            <sz val="11"/>
            <color indexed="81"/>
            <rFont val="Tahoma"/>
            <family val="2"/>
          </rPr>
          <t xml:space="preserve">Volume of N2 + Ar + H2O, etc. present in the stoichiometric volume of oxidant gas.
</t>
        </r>
      </text>
    </comment>
    <comment ref="AT14" authorId="0">
      <text>
        <r>
          <rPr>
            <sz val="11"/>
            <color indexed="81"/>
            <rFont val="Tahoma"/>
            <family val="2"/>
          </rPr>
          <t>Volume of oxidant gas in excess of the stoichiometrically required quantity for oxidiation of 1 volume of nat. gas.</t>
        </r>
      </text>
    </comment>
    <comment ref="AT15" authorId="0">
      <text>
        <r>
          <rPr>
            <sz val="11"/>
            <color indexed="81"/>
            <rFont val="Tahoma"/>
            <family val="2"/>
          </rPr>
          <t>Percentage of actual oxidant gas compared to stoichiometric quantity of oxidant gas.</t>
        </r>
      </text>
    </comment>
    <comment ref="AT16" authorId="0">
      <text>
        <r>
          <rPr>
            <sz val="11"/>
            <color indexed="81"/>
            <rFont val="Tahoma"/>
            <family val="2"/>
          </rPr>
          <t>Percentage of actual oxidant gas in excess of the stoichiometric quantity.</t>
        </r>
      </text>
    </comment>
    <comment ref="B17" authorId="1">
      <text>
        <r>
          <rPr>
            <sz val="10"/>
            <color indexed="81"/>
            <rFont val="Tahoma"/>
            <family val="2"/>
          </rPr>
          <t>All other inerts are included in this entry.</t>
        </r>
      </text>
    </comment>
    <comment ref="F17" authorId="2">
      <text>
        <r>
          <rPr>
            <sz val="10"/>
            <color indexed="81"/>
            <rFont val="Tahoma"/>
            <family val="2"/>
          </rPr>
          <t>Value in this cell must be non-negative.</t>
        </r>
      </text>
    </comment>
    <comment ref="AT17" authorId="0">
      <text>
        <r>
          <rPr>
            <sz val="11"/>
            <color indexed="81"/>
            <rFont val="Tahoma"/>
            <family val="2"/>
          </rPr>
          <t>Volume of oxidant gas for 1 volume unit of nat. gas that will give the desired %O</t>
        </r>
        <r>
          <rPr>
            <vertAlign val="subscript"/>
            <sz val="11"/>
            <color indexed="81"/>
            <rFont val="Tahoma"/>
            <family val="2"/>
          </rPr>
          <t>2</t>
        </r>
        <r>
          <rPr>
            <sz val="11"/>
            <color indexed="81"/>
            <rFont val="Tahoma"/>
            <family val="2"/>
          </rPr>
          <t xml:space="preserve"> in the combustion flame gas.</t>
        </r>
      </text>
    </comment>
    <comment ref="H20" authorId="1">
      <text>
        <r>
          <rPr>
            <sz val="10"/>
            <color indexed="81"/>
            <rFont val="Arial"/>
            <family val="2"/>
          </rPr>
          <t>This value is based on H</t>
        </r>
        <r>
          <rPr>
            <sz val="9"/>
            <color indexed="81"/>
            <rFont val="Arial"/>
            <family val="2"/>
          </rPr>
          <t>2</t>
        </r>
        <r>
          <rPr>
            <sz val="10"/>
            <color indexed="81"/>
            <rFont val="Arial"/>
            <family val="2"/>
          </rPr>
          <t>O(g) as the combustion product.</t>
        </r>
      </text>
    </comment>
    <comment ref="F24" authorId="2">
      <text>
        <r>
          <rPr>
            <b/>
            <sz val="9"/>
            <color indexed="81"/>
            <rFont val="Tahoma"/>
            <family val="2"/>
          </rPr>
          <t>Does not include CO2 present in the natural gas.</t>
        </r>
      </text>
    </comment>
    <comment ref="F25" authorId="2">
      <text>
        <r>
          <rPr>
            <b/>
            <sz val="9"/>
            <color indexed="81"/>
            <rFont val="Tahoma"/>
            <family val="2"/>
          </rPr>
          <t>Does not include H2O present in the natural gas.</t>
        </r>
      </text>
    </comment>
    <comment ref="H40" authorId="1">
      <text>
        <r>
          <rPr>
            <b/>
            <sz val="10"/>
            <color indexed="81"/>
            <rFont val="Tahoma"/>
            <family val="2"/>
          </rPr>
          <t>Any non-zero value here means that the process is non-adiabatic.</t>
        </r>
      </text>
    </comment>
    <comment ref="L47" authorId="1">
      <text>
        <r>
          <rPr>
            <b/>
            <sz val="9.5"/>
            <color indexed="81"/>
            <rFont val="Tahoma"/>
            <family val="2"/>
          </rPr>
          <t xml:space="preserve">This row contains the sum of the A values + the </t>
        </r>
        <r>
          <rPr>
            <b/>
            <sz val="9.5"/>
            <color indexed="81"/>
            <rFont val="Symbol"/>
            <family val="1"/>
            <charset val="2"/>
          </rPr>
          <t>D</t>
        </r>
        <r>
          <rPr>
            <b/>
            <sz val="9.5"/>
            <color indexed="81"/>
            <rFont val="Tahoma"/>
            <family val="2"/>
          </rPr>
          <t xml:space="preserve">H°comb in Joules (from cell I20). </t>
        </r>
      </text>
    </comment>
    <comment ref="L52" authorId="1">
      <text>
        <r>
          <rPr>
            <b/>
            <sz val="10"/>
            <color indexed="81"/>
            <rFont val="Tahoma"/>
            <family val="2"/>
          </rPr>
          <t>AFT calculated with use of quadratic formula.</t>
        </r>
      </text>
    </comment>
    <comment ref="M52" authorId="1">
      <text>
        <r>
          <rPr>
            <b/>
            <sz val="10"/>
            <color indexed="81"/>
            <rFont val="Symbol"/>
            <family val="1"/>
            <charset val="2"/>
          </rPr>
          <t>S</t>
        </r>
        <r>
          <rPr>
            <b/>
            <sz val="10"/>
            <color indexed="81"/>
            <rFont val="Tahoma"/>
            <family val="2"/>
          </rPr>
          <t xml:space="preserve">(HT-H25 of reactants + HT-H25 of products + Hloss + </t>
        </r>
        <r>
          <rPr>
            <b/>
            <sz val="10"/>
            <color indexed="81"/>
            <rFont val="Symbol"/>
            <family val="1"/>
            <charset val="2"/>
          </rPr>
          <t>D</t>
        </r>
        <r>
          <rPr>
            <b/>
            <sz val="10"/>
            <color indexed="81"/>
            <rFont val="Tahoma"/>
            <family val="2"/>
          </rPr>
          <t>H°comb) = 0</t>
        </r>
      </text>
    </comment>
  </commentList>
</comments>
</file>

<file path=xl/sharedStrings.xml><?xml version="1.0" encoding="utf-8"?>
<sst xmlns="http://schemas.openxmlformats.org/spreadsheetml/2006/main" count="277" uniqueCount="167">
  <si>
    <t>Mol. mass</t>
  </si>
  <si>
    <t>Mass %</t>
  </si>
  <si>
    <t>Methane</t>
  </si>
  <si>
    <r>
      <t>CH</t>
    </r>
    <r>
      <rPr>
        <vertAlign val="subscript"/>
        <sz val="10"/>
        <rFont val="Arial"/>
        <family val="2"/>
      </rPr>
      <t>4</t>
    </r>
  </si>
  <si>
    <t>Ethene</t>
  </si>
  <si>
    <r>
      <t>C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H</t>
    </r>
    <r>
      <rPr>
        <vertAlign val="subscript"/>
        <sz val="10"/>
        <rFont val="Arial"/>
        <family val="2"/>
      </rPr>
      <t>4</t>
    </r>
  </si>
  <si>
    <t>Ethane</t>
  </si>
  <si>
    <r>
      <t>C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H</t>
    </r>
    <r>
      <rPr>
        <vertAlign val="subscript"/>
        <sz val="10"/>
        <rFont val="Arial"/>
        <family val="2"/>
      </rPr>
      <t>6</t>
    </r>
  </si>
  <si>
    <t>Propane</t>
  </si>
  <si>
    <r>
      <t>C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>H</t>
    </r>
    <r>
      <rPr>
        <vertAlign val="subscript"/>
        <sz val="10"/>
        <rFont val="Arial"/>
        <family val="2"/>
      </rPr>
      <t>8</t>
    </r>
  </si>
  <si>
    <t>Hydrogen</t>
  </si>
  <si>
    <r>
      <t>H</t>
    </r>
    <r>
      <rPr>
        <vertAlign val="subscript"/>
        <sz val="10"/>
        <rFont val="Arial"/>
        <family val="2"/>
      </rPr>
      <t>2</t>
    </r>
  </si>
  <si>
    <t>Carbon monoxide</t>
  </si>
  <si>
    <t>CO</t>
  </si>
  <si>
    <t>Carbon dioxide</t>
  </si>
  <si>
    <r>
      <t>CO</t>
    </r>
    <r>
      <rPr>
        <vertAlign val="subscript"/>
        <sz val="10"/>
        <rFont val="Arial"/>
        <family val="2"/>
      </rPr>
      <t>2</t>
    </r>
  </si>
  <si>
    <t>Nitrogen (by diff.)</t>
  </si>
  <si>
    <r>
      <t>N</t>
    </r>
    <r>
      <rPr>
        <vertAlign val="subscript"/>
        <sz val="10"/>
        <rFont val="Arial"/>
        <family val="2"/>
      </rPr>
      <t>2</t>
    </r>
  </si>
  <si>
    <t>Molecular mass of NG</t>
  </si>
  <si>
    <t>Vol %</t>
  </si>
  <si>
    <t>C</t>
  </si>
  <si>
    <t>H</t>
  </si>
  <si>
    <t>O</t>
  </si>
  <si>
    <t>N</t>
  </si>
  <si>
    <t>moles</t>
  </si>
  <si>
    <t>mass</t>
  </si>
  <si>
    <t xml:space="preserve">Butanes &amp; higher </t>
  </si>
  <si>
    <r>
      <t>C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H</t>
    </r>
    <r>
      <rPr>
        <vertAlign val="subscript"/>
        <sz val="10"/>
        <rFont val="Arial"/>
        <family val="2"/>
      </rPr>
      <t>10</t>
    </r>
    <r>
      <rPr>
        <sz val="10"/>
        <rFont val="Arial"/>
        <family val="2"/>
      </rPr>
      <t xml:space="preserve"> +</t>
    </r>
  </si>
  <si>
    <t>Species</t>
  </si>
  <si>
    <r>
      <t>C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H</t>
    </r>
    <r>
      <rPr>
        <vertAlign val="subscript"/>
        <sz val="10"/>
        <rFont val="Arial"/>
        <family val="2"/>
      </rPr>
      <t>10</t>
    </r>
  </si>
  <si>
    <r>
      <t>½O</t>
    </r>
    <r>
      <rPr>
        <vertAlign val="sub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 xml:space="preserve"> + CO → CO</t>
    </r>
    <r>
      <rPr>
        <vertAlign val="subscript"/>
        <sz val="10"/>
        <color rgb="FF000000"/>
        <rFont val="Arial"/>
        <family val="2"/>
      </rPr>
      <t>2</t>
    </r>
  </si>
  <si>
    <r>
      <t>½O</t>
    </r>
    <r>
      <rPr>
        <vertAlign val="sub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 xml:space="preserve"> + H</t>
    </r>
    <r>
      <rPr>
        <vertAlign val="sub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 xml:space="preserve"> → H</t>
    </r>
    <r>
      <rPr>
        <vertAlign val="sub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>O(g)</t>
    </r>
  </si>
  <si>
    <r>
      <t>2O</t>
    </r>
    <r>
      <rPr>
        <vertAlign val="sub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 xml:space="preserve"> + CH</t>
    </r>
    <r>
      <rPr>
        <vertAlign val="subscript"/>
        <sz val="10"/>
        <color rgb="FF000000"/>
        <rFont val="Arial"/>
        <family val="2"/>
      </rPr>
      <t>4</t>
    </r>
    <r>
      <rPr>
        <sz val="10"/>
        <color rgb="FF000000"/>
        <rFont val="Arial"/>
        <family val="2"/>
      </rPr>
      <t xml:space="preserve"> → CO</t>
    </r>
    <r>
      <rPr>
        <vertAlign val="sub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 xml:space="preserve"> + 2H</t>
    </r>
    <r>
      <rPr>
        <vertAlign val="subscript"/>
        <sz val="10"/>
        <rFont val="Arial"/>
        <family val="2"/>
      </rPr>
      <t>2</t>
    </r>
    <r>
      <rPr>
        <sz val="10"/>
        <color rgb="FF000000"/>
        <rFont val="Arial"/>
        <family val="2"/>
      </rPr>
      <t>O(g)</t>
    </r>
  </si>
  <si>
    <r>
      <t>3O</t>
    </r>
    <r>
      <rPr>
        <vertAlign val="sub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 xml:space="preserve"> + C</t>
    </r>
    <r>
      <rPr>
        <vertAlign val="sub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>H</t>
    </r>
    <r>
      <rPr>
        <vertAlign val="subscript"/>
        <sz val="10"/>
        <color rgb="FF000000"/>
        <rFont val="Arial"/>
        <family val="2"/>
      </rPr>
      <t>4</t>
    </r>
    <r>
      <rPr>
        <sz val="10"/>
        <color rgb="FF000000"/>
        <rFont val="Arial"/>
        <family val="2"/>
      </rPr>
      <t xml:space="preserve"> → 2CO</t>
    </r>
    <r>
      <rPr>
        <vertAlign val="sub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 xml:space="preserve"> + 2H</t>
    </r>
    <r>
      <rPr>
        <vertAlign val="subscript"/>
        <sz val="10"/>
        <rFont val="Arial"/>
        <family val="2"/>
      </rPr>
      <t>2</t>
    </r>
    <r>
      <rPr>
        <sz val="10"/>
        <color rgb="FF000000"/>
        <rFont val="Arial"/>
        <family val="2"/>
      </rPr>
      <t>O(g)</t>
    </r>
  </si>
  <si>
    <r>
      <t>3½O</t>
    </r>
    <r>
      <rPr>
        <vertAlign val="sub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 xml:space="preserve"> + C</t>
    </r>
    <r>
      <rPr>
        <vertAlign val="sub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>H</t>
    </r>
    <r>
      <rPr>
        <vertAlign val="subscript"/>
        <sz val="10"/>
        <color rgb="FF000000"/>
        <rFont val="Arial"/>
        <family val="2"/>
      </rPr>
      <t>6</t>
    </r>
    <r>
      <rPr>
        <sz val="10"/>
        <color rgb="FF000000"/>
        <rFont val="Arial"/>
        <family val="2"/>
      </rPr>
      <t xml:space="preserve"> → 2CO</t>
    </r>
    <r>
      <rPr>
        <vertAlign val="sub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 xml:space="preserve"> + 3H</t>
    </r>
    <r>
      <rPr>
        <vertAlign val="subscript"/>
        <sz val="10"/>
        <rFont val="Arial"/>
        <family val="2"/>
      </rPr>
      <t>2</t>
    </r>
    <r>
      <rPr>
        <sz val="10"/>
        <color rgb="FF000000"/>
        <rFont val="Arial"/>
        <family val="2"/>
      </rPr>
      <t>O(g)</t>
    </r>
  </si>
  <si>
    <r>
      <t>5O</t>
    </r>
    <r>
      <rPr>
        <vertAlign val="sub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 xml:space="preserve"> + C</t>
    </r>
    <r>
      <rPr>
        <vertAlign val="subscript"/>
        <sz val="10"/>
        <color rgb="FF000000"/>
        <rFont val="Arial"/>
        <family val="2"/>
      </rPr>
      <t>3</t>
    </r>
    <r>
      <rPr>
        <sz val="10"/>
        <color rgb="FF000000"/>
        <rFont val="Arial"/>
        <family val="2"/>
      </rPr>
      <t>H</t>
    </r>
    <r>
      <rPr>
        <vertAlign val="subscript"/>
        <sz val="10"/>
        <color rgb="FF000000"/>
        <rFont val="Arial"/>
        <family val="2"/>
      </rPr>
      <t>8</t>
    </r>
    <r>
      <rPr>
        <sz val="10"/>
        <color rgb="FF000000"/>
        <rFont val="Arial"/>
        <family val="2"/>
      </rPr>
      <t xml:space="preserve"> → 3CO</t>
    </r>
    <r>
      <rPr>
        <vertAlign val="sub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 xml:space="preserve"> + 4H</t>
    </r>
    <r>
      <rPr>
        <vertAlign val="subscript"/>
        <sz val="10"/>
        <rFont val="Arial"/>
        <family val="2"/>
      </rPr>
      <t>2</t>
    </r>
    <r>
      <rPr>
        <sz val="10"/>
        <color rgb="FF000000"/>
        <rFont val="Arial"/>
        <family val="2"/>
      </rPr>
      <t>O(g)</t>
    </r>
  </si>
  <si>
    <r>
      <t>6½O</t>
    </r>
    <r>
      <rPr>
        <vertAlign val="sub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 xml:space="preserve"> + C</t>
    </r>
    <r>
      <rPr>
        <vertAlign val="subscript"/>
        <sz val="10"/>
        <color rgb="FF000000"/>
        <rFont val="Arial"/>
        <family val="2"/>
      </rPr>
      <t>4</t>
    </r>
    <r>
      <rPr>
        <sz val="10"/>
        <color rgb="FF000000"/>
        <rFont val="Arial"/>
        <family val="2"/>
      </rPr>
      <t>H</t>
    </r>
    <r>
      <rPr>
        <vertAlign val="subscript"/>
        <sz val="10"/>
        <color rgb="FF000000"/>
        <rFont val="Arial"/>
        <family val="2"/>
      </rPr>
      <t>10</t>
    </r>
    <r>
      <rPr>
        <sz val="10"/>
        <color rgb="FF000000"/>
        <rFont val="Arial"/>
        <family val="2"/>
      </rPr>
      <t xml:space="preserve"> → 4CO</t>
    </r>
    <r>
      <rPr>
        <vertAlign val="sub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 xml:space="preserve"> + 5H</t>
    </r>
    <r>
      <rPr>
        <vertAlign val="subscript"/>
        <sz val="10"/>
        <rFont val="Arial"/>
        <family val="2"/>
      </rPr>
      <t>2</t>
    </r>
    <r>
      <rPr>
        <sz val="10"/>
        <color rgb="FF000000"/>
        <rFont val="Arial"/>
        <family val="2"/>
      </rPr>
      <t>O(g)</t>
    </r>
  </si>
  <si>
    <r>
      <t>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O(g)</t>
    </r>
  </si>
  <si>
    <t>Mass, g</t>
  </si>
  <si>
    <r>
      <rPr>
        <sz val="11"/>
        <rFont val="Symbol"/>
        <family val="1"/>
        <charset val="2"/>
      </rPr>
      <t>D</t>
    </r>
    <r>
      <rPr>
        <sz val="11"/>
        <rFont val="Arial"/>
        <family val="2"/>
      </rPr>
      <t>H°</t>
    </r>
    <r>
      <rPr>
        <sz val="9"/>
        <rFont val="Arial"/>
        <family val="2"/>
      </rPr>
      <t>comb</t>
    </r>
  </si>
  <si>
    <r>
      <t>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produced by combustion</t>
    </r>
  </si>
  <si>
    <r>
      <t>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 produced by combustion</t>
    </r>
  </si>
  <si>
    <r>
      <t xml:space="preserve">Table II. Molar </t>
    </r>
    <r>
      <rPr>
        <sz val="11"/>
        <rFont val="Symbol"/>
        <family val="1"/>
        <charset val="2"/>
      </rPr>
      <t>D</t>
    </r>
    <r>
      <rPr>
        <i/>
        <sz val="11"/>
        <rFont val="Arial"/>
        <family val="2"/>
      </rPr>
      <t>H</t>
    </r>
    <r>
      <rPr>
        <sz val="11"/>
        <rFont val="Arial"/>
        <family val="2"/>
      </rPr>
      <t>°</t>
    </r>
    <r>
      <rPr>
        <sz val="9"/>
        <rFont val="Arial"/>
        <family val="2"/>
      </rPr>
      <t>reax</t>
    </r>
    <r>
      <rPr>
        <sz val="11"/>
        <rFont val="Arial"/>
        <family val="2"/>
      </rPr>
      <t xml:space="preserve"> at 25 °C</t>
    </r>
  </si>
  <si>
    <t>Note:  text box appearance may vary with different Windows and Excel versions.</t>
  </si>
  <si>
    <t>Water vapor</t>
  </si>
  <si>
    <r>
      <t>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</si>
  <si>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t>Sum</t>
  </si>
  <si>
    <t xml:space="preserve"> products</t>
  </si>
  <si>
    <t>Combustion</t>
  </si>
  <si>
    <r>
      <t>Vol. % 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in oxidant gas</t>
    </r>
  </si>
  <si>
    <r>
      <t>Desired %O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in comb. flame</t>
    </r>
  </si>
  <si>
    <t>Combustion products</t>
  </si>
  <si>
    <t>Stoichiometric oxidant</t>
  </si>
  <si>
    <t>Stoichiometric oxidant inerts</t>
  </si>
  <si>
    <t>Excess oxidant</t>
  </si>
  <si>
    <t>% stoichiometric oxidant gas</t>
  </si>
  <si>
    <t>% excess oxidant gas</t>
  </si>
  <si>
    <t>Required oxidant</t>
  </si>
  <si>
    <t>Combustion water</t>
  </si>
  <si>
    <t>Stack gas volume</t>
  </si>
  <si>
    <t>Dry stack gas volume</t>
  </si>
  <si>
    <t>%O2 in dry stack gas</t>
  </si>
  <si>
    <t>Oxidant mass</t>
  </si>
  <si>
    <t>Ox/NG mass ratio</t>
  </si>
  <si>
    <t>Oxidant gas required</t>
  </si>
  <si>
    <t>NG reactant species</t>
  </si>
  <si>
    <t xml:space="preserve"> Oxidant Properties</t>
  </si>
  <si>
    <t>Dry stack gas amount</t>
  </si>
  <si>
    <r>
      <t>Stoich. 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required for combustion</t>
    </r>
  </si>
  <si>
    <r>
      <t xml:space="preserve">Table I. Molar </t>
    </r>
    <r>
      <rPr>
        <sz val="11"/>
        <rFont val="Symbol"/>
        <family val="1"/>
        <charset val="2"/>
      </rPr>
      <t>D</t>
    </r>
    <r>
      <rPr>
        <i/>
        <sz val="11"/>
        <rFont val="Arial"/>
        <family val="2"/>
      </rPr>
      <t>H</t>
    </r>
    <r>
      <rPr>
        <sz val="11"/>
        <rFont val="Arial"/>
        <family val="2"/>
      </rPr>
      <t>°</t>
    </r>
    <r>
      <rPr>
        <sz val="9"/>
        <rFont val="Arial"/>
        <family val="2"/>
      </rPr>
      <t>form</t>
    </r>
    <r>
      <rPr>
        <sz val="11"/>
        <rFont val="Arial"/>
        <family val="2"/>
      </rPr>
      <t xml:space="preserve"> at 25 °C</t>
    </r>
  </si>
  <si>
    <r>
      <t xml:space="preserve">  Reaction to form H</t>
    </r>
    <r>
      <rPr>
        <i/>
        <vertAlign val="subscript"/>
        <sz val="10"/>
        <rFont val="Arial"/>
        <family val="2"/>
      </rPr>
      <t>2</t>
    </r>
    <r>
      <rPr>
        <i/>
        <sz val="10"/>
        <rFont val="Arial"/>
        <family val="2"/>
      </rPr>
      <t>O(g)</t>
    </r>
  </si>
  <si>
    <r>
      <t>Offgas CO</t>
    </r>
    <r>
      <rPr>
        <vertAlign val="subscript"/>
        <sz val="10"/>
        <rFont val="Arial"/>
        <family val="2"/>
      </rPr>
      <t>2</t>
    </r>
  </si>
  <si>
    <t xml:space="preserve"> </t>
  </si>
  <si>
    <r>
      <t>Offgas O</t>
    </r>
    <r>
      <rPr>
        <vertAlign val="subscript"/>
        <sz val="10"/>
        <rFont val="Arial"/>
        <family val="2"/>
      </rPr>
      <t>2</t>
    </r>
  </si>
  <si>
    <r>
      <t>Offgas 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</si>
  <si>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r>
      <t>Offgas N</t>
    </r>
    <r>
      <rPr>
        <vertAlign val="subscript"/>
        <sz val="10"/>
        <rFont val="Arial"/>
        <family val="2"/>
      </rPr>
      <t>2</t>
    </r>
  </si>
  <si>
    <r>
      <t>%O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in offgas</t>
    </r>
  </si>
  <si>
    <r>
      <t>%O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in dry offgas</t>
    </r>
  </si>
  <si>
    <t>Table III. Heat Content Above 25 °C, J/g-mol</t>
  </si>
  <si>
    <r>
      <t>O</t>
    </r>
    <r>
      <rPr>
        <vertAlign val="subscript"/>
        <sz val="10"/>
        <rFont val="Arial"/>
        <family val="2"/>
      </rPr>
      <t>2</t>
    </r>
  </si>
  <si>
    <t>A</t>
  </si>
  <si>
    <t>B</t>
  </si>
  <si>
    <t>Amount,</t>
  </si>
  <si>
    <t>g-mol</t>
  </si>
  <si>
    <t xml:space="preserve">Composition, </t>
  </si>
  <si>
    <t>vol. %</t>
  </si>
  <si>
    <t>Offgas amount</t>
  </si>
  <si>
    <t>% XS oxidant</t>
  </si>
  <si>
    <t xml:space="preserve">   Material Balance Calculations</t>
  </si>
  <si>
    <t>Data from FREED database program.</t>
  </si>
  <si>
    <t>Summary of Results</t>
  </si>
  <si>
    <r>
      <t>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O(g) → 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i/>
        <sz val="10"/>
        <rFont val="Arial"/>
        <family val="2"/>
      </rPr>
      <t>(</t>
    </r>
    <r>
      <rPr>
        <sz val="10"/>
        <rFont val="Arial"/>
        <family val="2"/>
      </rPr>
      <t>liq)</t>
    </r>
  </si>
  <si>
    <r>
      <t>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O(liq)</t>
    </r>
  </si>
  <si>
    <t>Please read cell comments</t>
  </si>
  <si>
    <t>mol %</t>
  </si>
  <si>
    <t xml:space="preserve">       Natural Gas/Fuel Properties</t>
  </si>
  <si>
    <r>
      <t>C + O</t>
    </r>
    <r>
      <rPr>
        <vertAlign val="sub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 xml:space="preserve"> → CO</t>
    </r>
    <r>
      <rPr>
        <vertAlign val="subscript"/>
        <sz val="10"/>
        <color rgb="FF000000"/>
        <rFont val="Arial"/>
        <family val="2"/>
      </rPr>
      <t>2</t>
    </r>
  </si>
  <si>
    <t>Element Balance of Fuel</t>
  </si>
  <si>
    <t>Element</t>
  </si>
  <si>
    <t>Natural Gas/Fuel Properties</t>
  </si>
  <si>
    <r>
      <rPr>
        <sz val="11"/>
        <rFont val="Symbol"/>
        <family val="1"/>
        <charset val="2"/>
      </rPr>
      <t>D</t>
    </r>
    <r>
      <rPr>
        <sz val="11"/>
        <rFont val="Arial"/>
        <family val="2"/>
      </rPr>
      <t>H°</t>
    </r>
    <r>
      <rPr>
        <sz val="9"/>
        <rFont val="Arial"/>
        <family val="2"/>
      </rPr>
      <t>comb</t>
    </r>
    <r>
      <rPr>
        <sz val="11"/>
        <rFont val="Arial"/>
        <family val="2"/>
      </rPr>
      <t xml:space="preserve"> of Fuel, kJ/g-mol</t>
    </r>
  </si>
  <si>
    <t>Heat Balance Calculations</t>
  </si>
  <si>
    <r>
      <t>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, 900 - 2100°C</t>
    </r>
  </si>
  <si>
    <r>
      <t>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, 900 - 2100°C</t>
    </r>
  </si>
  <si>
    <r>
      <t>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, 900 - 2100°C</t>
    </r>
  </si>
  <si>
    <r>
      <t>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O(g), 900 - 2100°C</t>
    </r>
  </si>
  <si>
    <t>a</t>
  </si>
  <si>
    <t>c</t>
  </si>
  <si>
    <t>b</t>
  </si>
  <si>
    <t>AFT</t>
  </si>
  <si>
    <t>Values for Quadratic Formula</t>
  </si>
  <si>
    <r>
      <t>S</t>
    </r>
    <r>
      <rPr>
        <sz val="11"/>
        <rFont val="Arial"/>
        <family val="2"/>
      </rPr>
      <t>(</t>
    </r>
    <r>
      <rPr>
        <i/>
        <sz val="11"/>
        <rFont val="Arial"/>
        <family val="2"/>
      </rPr>
      <t>H</t>
    </r>
    <r>
      <rPr>
        <vertAlign val="subscript"/>
        <sz val="11"/>
        <rFont val="Arial"/>
        <family val="2"/>
      </rPr>
      <t>T</t>
    </r>
    <r>
      <rPr>
        <sz val="11"/>
        <rFont val="Arial"/>
        <family val="2"/>
      </rPr>
      <t>-</t>
    </r>
    <r>
      <rPr>
        <i/>
        <sz val="11"/>
        <rFont val="Arial"/>
        <family val="2"/>
      </rPr>
      <t>H</t>
    </r>
    <r>
      <rPr>
        <vertAlign val="subscript"/>
        <sz val="11"/>
        <rFont val="Arial"/>
        <family val="2"/>
      </rPr>
      <t>25</t>
    </r>
    <r>
      <rPr>
        <sz val="11"/>
        <rFont val="Arial"/>
        <family val="2"/>
      </rPr>
      <t xml:space="preserve"> of reactants + </t>
    </r>
    <r>
      <rPr>
        <i/>
        <sz val="11"/>
        <rFont val="Arial"/>
        <family val="2"/>
      </rPr>
      <t>H</t>
    </r>
    <r>
      <rPr>
        <vertAlign val="subscript"/>
        <sz val="11"/>
        <rFont val="Arial"/>
        <family val="2"/>
      </rPr>
      <t>T</t>
    </r>
    <r>
      <rPr>
        <sz val="11"/>
        <rFont val="Arial"/>
        <family val="2"/>
      </rPr>
      <t>-</t>
    </r>
    <r>
      <rPr>
        <i/>
        <sz val="11"/>
        <rFont val="Arial"/>
        <family val="2"/>
      </rPr>
      <t>H</t>
    </r>
    <r>
      <rPr>
        <vertAlign val="subscript"/>
        <sz val="11"/>
        <rFont val="Arial"/>
        <family val="2"/>
      </rPr>
      <t>25</t>
    </r>
    <r>
      <rPr>
        <sz val="11"/>
        <rFont val="Arial"/>
        <family val="2"/>
      </rPr>
      <t xml:space="preserve"> of products + </t>
    </r>
    <r>
      <rPr>
        <i/>
        <sz val="11"/>
        <rFont val="Arial"/>
        <family val="2"/>
      </rPr>
      <t>H</t>
    </r>
    <r>
      <rPr>
        <vertAlign val="subscript"/>
        <sz val="11"/>
        <rFont val="Arial"/>
        <family val="2"/>
      </rPr>
      <t>loss</t>
    </r>
    <r>
      <rPr>
        <sz val="11"/>
        <rFont val="Arial"/>
        <family val="2"/>
      </rPr>
      <t xml:space="preserve"> + </t>
    </r>
    <r>
      <rPr>
        <sz val="11"/>
        <rFont val="Symbol"/>
        <family val="1"/>
        <charset val="2"/>
      </rPr>
      <t>D</t>
    </r>
    <r>
      <rPr>
        <i/>
        <sz val="11"/>
        <rFont val="Arial"/>
        <family val="2"/>
      </rPr>
      <t>H</t>
    </r>
    <r>
      <rPr>
        <sz val="11"/>
        <rFont val="Arial"/>
        <family val="2"/>
      </rPr>
      <t>°comb) = 0</t>
    </r>
  </si>
  <si>
    <t>AFT, °C</t>
  </si>
  <si>
    <t>Figure 1.  Relationship between the AFT and the % excess oxidant used for combustion.</t>
  </si>
  <si>
    <t>Excel's Trendline tool can be used to give a quadratic equation fit to the results.  For x, use %/100.</t>
  </si>
  <si>
    <t>Chart equations valid between 900° - 2100 °C.</t>
  </si>
  <si>
    <t>Step 1.  Bring reactants to 25°C.</t>
  </si>
  <si>
    <t>Step 3.  Heat products to AFT.</t>
  </si>
  <si>
    <t>Step 5.  Calculate AFT using quadratic formula (M52:S52).</t>
  </si>
  <si>
    <t>Legend</t>
  </si>
  <si>
    <t>Step 2.  Burn fuel at 25°C.  Cell I20</t>
  </si>
  <si>
    <r>
      <rPr>
        <i/>
        <sz val="10"/>
        <rFont val="Arial"/>
        <family val="2"/>
      </rPr>
      <t>H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>-</t>
    </r>
    <r>
      <rPr>
        <i/>
        <sz val="10"/>
        <rFont val="Arial"/>
        <family val="2"/>
      </rPr>
      <t>H</t>
    </r>
    <r>
      <rPr>
        <vertAlign val="subscript"/>
        <sz val="10"/>
        <rFont val="Arial"/>
        <family val="2"/>
      </rPr>
      <t>25</t>
    </r>
    <r>
      <rPr>
        <sz val="10"/>
        <rFont val="Arial"/>
        <family val="2"/>
      </rPr>
      <t xml:space="preserve"> for oxidant &amp; fuel</t>
    </r>
  </si>
  <si>
    <t>Cp</t>
  </si>
  <si>
    <t>---</t>
  </si>
  <si>
    <t>Graphite</t>
  </si>
  <si>
    <t>Step 4.  Sum of all heats = 0.  M47:S47</t>
  </si>
  <si>
    <t xml:space="preserve">Heat loss, J </t>
  </si>
  <si>
    <t xml:space="preserve">Oxidant temperature, °C </t>
  </si>
  <si>
    <t xml:space="preserve">Fuel temperature, °C </t>
  </si>
  <si>
    <r>
      <t xml:space="preserve">Table IV.  Heat content eq'n. parameters, </t>
    </r>
    <r>
      <rPr>
        <b/>
        <sz val="11"/>
        <rFont val="Arial"/>
        <family val="2"/>
      </rPr>
      <t>J/g-mol</t>
    </r>
    <r>
      <rPr>
        <sz val="11"/>
        <rFont val="Arial"/>
        <family val="2"/>
      </rPr>
      <t xml:space="preserve"> =  A + BT + CT</t>
    </r>
    <r>
      <rPr>
        <vertAlign val="superscript"/>
        <sz val="11"/>
        <rFont val="Arial"/>
        <family val="2"/>
      </rPr>
      <t>2</t>
    </r>
  </si>
  <si>
    <t>Values Entered on MainEntry</t>
  </si>
  <si>
    <t>Summary of Results--Methane</t>
  </si>
  <si>
    <t>Summary of Results--Ethane</t>
  </si>
  <si>
    <t>As noted in article text, AFT = 1608°C with 40% excess oxygen.  Air enters at 38°C and methane at 20°C.</t>
  </si>
  <si>
    <t>Summary of Results--Propane</t>
  </si>
  <si>
    <t xml:space="preserve">    Summary of Results--Methane Text Example</t>
  </si>
  <si>
    <t>Summary of Results--Graphite</t>
  </si>
  <si>
    <t>Oxidant and fuel enter at 25°C.</t>
  </si>
  <si>
    <t xml:space="preserve">Upper limit on % excess oxidant </t>
  </si>
  <si>
    <t>Summary of Results--Hydrogen</t>
  </si>
  <si>
    <t>Summary of Results--Carbon Monoxide</t>
  </si>
  <si>
    <t>CO2</t>
  </si>
  <si>
    <t>N2</t>
  </si>
  <si>
    <t>N2O</t>
  </si>
  <si>
    <t>NO</t>
  </si>
  <si>
    <t>O2</t>
  </si>
  <si>
    <t>H2</t>
  </si>
  <si>
    <t>H2O</t>
  </si>
  <si>
    <t>OH</t>
  </si>
  <si>
    <t>Oxidant/Fuel mass ratio</t>
  </si>
  <si>
    <t xml:space="preserve">Figure 1.  Relationship between the AFT and % excess oxidant for article example.  </t>
  </si>
  <si>
    <t>Figure 2.  Relationship between the theoretical AFT and % excess oxidant for different fuels.</t>
  </si>
  <si>
    <t xml:space="preserve">Notice the increasing deviation between the two versions above about 1650°C.  </t>
  </si>
  <si>
    <t>Results of Sample Calculations</t>
  </si>
  <si>
    <r>
      <t>The difference is caused by increasing thermal disproportion of 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 and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at elevated temperatures (see data below).  </t>
    </r>
  </si>
  <si>
    <t>Please read</t>
  </si>
  <si>
    <t>Stoichiometric amount of oxidant</t>
  </si>
  <si>
    <t>J/g-mol</t>
  </si>
  <si>
    <r>
      <t>% O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in Oxidant   </t>
    </r>
  </si>
  <si>
    <t xml:space="preserve"> Chart and table will reconfigure when any blue-cell entry value is changed. </t>
  </si>
  <si>
    <r>
      <t>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, (g)</t>
    </r>
  </si>
  <si>
    <r>
      <t>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, (g)</t>
    </r>
  </si>
  <si>
    <r>
      <t>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O, (g)</t>
    </r>
  </si>
  <si>
    <r>
      <t>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, (g)</t>
    </r>
  </si>
  <si>
    <t>T, °C</t>
  </si>
  <si>
    <t>Excel's Trendline tool used to fit data to quadratic equation.</t>
  </si>
  <si>
    <r>
      <t>Figure 3.  Comparison between theoretical (solid lines) and equilibrium (dashed lines) AFT for combustion of CH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 xml:space="preserve"> and C(graphite).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</si>
</sst>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0.000"/>
    <numFmt numFmtId="165" formatCode="#.0#;#.0#;\O\ \K;@"/>
    <numFmt numFmtId="166" formatCode="#,##0.00#"/>
    <numFmt numFmtId="167" formatCode=";;;"/>
    <numFmt numFmtId="168" formatCode="#,##0.00####"/>
    <numFmt numFmtId="169" formatCode="0.0"/>
    <numFmt numFmtId="170" formatCode="0.0000"/>
    <numFmt numFmtId="171" formatCode="0.0%"/>
    <numFmt numFmtId="172" formatCode="0.000E+00"/>
    <numFmt numFmtId="173" formatCode="0.0000E+00"/>
    <numFmt numFmtId="174" formatCode="0.000%"/>
  </numFmts>
  <fonts count="44">
    <font>
      <sz val="10"/>
      <name val="Arial"/>
      <family val="2"/>
    </font>
    <font>
      <sz val="10"/>
      <name val="Arial"/>
      <family val="2"/>
    </font>
    <font>
      <vertAlign val="subscript"/>
      <sz val="10"/>
      <name val="Arial"/>
      <family val="2"/>
    </font>
    <font>
      <sz val="11"/>
      <name val="Arial"/>
      <family val="2"/>
    </font>
    <font>
      <sz val="8"/>
      <color indexed="42"/>
      <name val="Arial"/>
      <family val="2"/>
    </font>
    <font>
      <b/>
      <sz val="10"/>
      <color indexed="8"/>
      <name val="Arial"/>
      <family val="2"/>
    </font>
    <font>
      <sz val="7"/>
      <name val="Arial"/>
      <family val="2"/>
    </font>
    <font>
      <sz val="10"/>
      <color indexed="10"/>
      <name val="Arial"/>
      <family val="2"/>
    </font>
    <font>
      <b/>
      <i/>
      <sz val="12"/>
      <color indexed="13"/>
      <name val="Arial"/>
      <family val="2"/>
    </font>
    <font>
      <b/>
      <sz val="10"/>
      <color indexed="13"/>
      <name val="Arial"/>
      <family val="2"/>
    </font>
    <font>
      <sz val="10"/>
      <color indexed="13"/>
      <name val="Arial"/>
      <family val="2"/>
    </font>
    <font>
      <b/>
      <i/>
      <sz val="10"/>
      <color indexed="13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10"/>
      <color indexed="81"/>
      <name val="Arial"/>
      <family val="2"/>
    </font>
    <font>
      <sz val="8"/>
      <color indexed="81"/>
      <name val="Arial"/>
      <family val="2"/>
    </font>
    <font>
      <sz val="10"/>
      <color rgb="FF000000"/>
      <name val="Arial"/>
      <family val="2"/>
    </font>
    <font>
      <vertAlign val="subscript"/>
      <sz val="10"/>
      <color rgb="FF000000"/>
      <name val="Arial"/>
      <family val="2"/>
    </font>
    <font>
      <sz val="11"/>
      <name val="Symbol"/>
      <family val="1"/>
      <charset val="2"/>
    </font>
    <font>
      <i/>
      <sz val="11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0.5"/>
      <name val="Arial"/>
      <family val="2"/>
    </font>
    <font>
      <b/>
      <sz val="9"/>
      <color indexed="81"/>
      <name val="Tahoma"/>
      <family val="2"/>
    </font>
    <font>
      <sz val="10"/>
      <name val="Arial Narrow"/>
      <family val="2"/>
    </font>
    <font>
      <sz val="16"/>
      <name val="Arial Rounded MT Bold"/>
      <family val="2"/>
    </font>
    <font>
      <sz val="12"/>
      <name val="Arial"/>
      <family val="2"/>
    </font>
    <font>
      <sz val="11"/>
      <color indexed="81"/>
      <name val="Tahoma"/>
      <family val="2"/>
    </font>
    <font>
      <vertAlign val="subscript"/>
      <sz val="11"/>
      <color indexed="81"/>
      <name val="Tahoma"/>
      <family val="2"/>
    </font>
    <font>
      <vertAlign val="subscript"/>
      <sz val="11"/>
      <name val="Arial"/>
      <family val="2"/>
    </font>
    <font>
      <i/>
      <vertAlign val="subscript"/>
      <sz val="10"/>
      <name val="Arial"/>
      <family val="2"/>
    </font>
    <font>
      <sz val="10"/>
      <color indexed="81"/>
      <name val="Tahoma"/>
      <family val="2"/>
    </font>
    <font>
      <sz val="11"/>
      <name val="Arial Unicode MS"/>
      <family val="2"/>
    </font>
    <font>
      <b/>
      <sz val="11"/>
      <name val="Arial"/>
      <family val="2"/>
    </font>
    <font>
      <vertAlign val="superscript"/>
      <sz val="11"/>
      <name val="Arial"/>
      <family val="2"/>
    </font>
    <font>
      <sz val="16"/>
      <name val="Arial"/>
      <family val="2"/>
    </font>
    <font>
      <sz val="9"/>
      <color indexed="81"/>
      <name val="Arial"/>
      <family val="2"/>
    </font>
    <font>
      <b/>
      <sz val="9.5"/>
      <color indexed="81"/>
      <name val="Tahoma"/>
      <family val="2"/>
    </font>
    <font>
      <b/>
      <sz val="9.5"/>
      <color indexed="81"/>
      <name val="Symbol"/>
      <family val="1"/>
      <charset val="2"/>
    </font>
    <font>
      <b/>
      <sz val="10"/>
      <color indexed="81"/>
      <name val="Symbol"/>
      <family val="1"/>
      <charset val="2"/>
    </font>
    <font>
      <b/>
      <sz val="10"/>
      <color indexed="81"/>
      <name val="Tahoma"/>
      <family val="2"/>
    </font>
    <font>
      <sz val="11"/>
      <name val="Arial Narrow"/>
      <family val="2"/>
    </font>
    <font>
      <b/>
      <sz val="12"/>
      <color theme="0"/>
      <name val="Arial"/>
      <family val="2"/>
    </font>
    <font>
      <sz val="10.7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27"/>
        <bgColor indexed="27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6"/>
        <bgColor indexed="64"/>
      </patternFill>
    </fill>
    <fill>
      <patternFill patternType="solid">
        <fgColor indexed="42"/>
      </patternFill>
    </fill>
    <fill>
      <patternFill patternType="solid">
        <fgColor indexed="21"/>
      </patternFill>
    </fill>
    <fill>
      <patternFill patternType="solid">
        <fgColor indexed="38"/>
      </patternFill>
    </fill>
    <fill>
      <patternFill patternType="solid">
        <fgColor indexed="47"/>
      </patternFill>
    </fill>
    <fill>
      <patternFill patternType="solid">
        <fgColor indexed="21"/>
        <bgColor indexed="64"/>
      </patternFill>
    </fill>
    <fill>
      <patternFill patternType="solid">
        <fgColor indexed="26"/>
      </patternFill>
    </fill>
    <fill>
      <patternFill patternType="solid">
        <fgColor indexed="48"/>
      </patternFill>
    </fill>
    <fill>
      <patternFill patternType="solid">
        <fgColor rgb="FFFFEEB9"/>
        <bgColor indexed="64"/>
      </patternFill>
    </fill>
    <fill>
      <patternFill patternType="solid">
        <fgColor indexed="9"/>
        <bgColor indexed="45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gray0625">
        <fgColor theme="1" tint="0.24994659260841701"/>
        <bgColor rgb="FFE4E4E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A7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69FFAD"/>
        <bgColor indexed="64"/>
      </patternFill>
    </fill>
    <fill>
      <patternFill patternType="solid">
        <fgColor rgb="FF9FFFCA"/>
        <bgColor indexed="64"/>
      </patternFill>
    </fill>
    <fill>
      <patternFill patternType="solid">
        <fgColor rgb="FFFFEEB7"/>
        <bgColor indexed="64"/>
      </patternFill>
    </fill>
    <fill>
      <patternFill patternType="solid">
        <fgColor rgb="FF8FFFC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DFC9EF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theme="1"/>
      </bottom>
      <diagonal/>
    </border>
    <border>
      <left/>
      <right/>
      <top style="thin">
        <color indexed="64"/>
      </top>
      <bottom style="dotted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48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48"/>
      </left>
      <right style="medium">
        <color indexed="48"/>
      </right>
      <top style="medium">
        <color indexed="4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/>
      <diagonal/>
    </border>
    <border>
      <left/>
      <right style="medium">
        <color indexed="48"/>
      </right>
      <top style="medium">
        <color indexed="48"/>
      </top>
      <bottom style="medium">
        <color indexed="4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5">
    <xf numFmtId="0" fontId="0" fillId="0" borderId="0"/>
    <xf numFmtId="165" fontId="4" fillId="3" borderId="5" applyNumberFormat="0" applyBorder="0" applyAlignment="0">
      <alignment horizontal="center" vertical="center"/>
    </xf>
    <xf numFmtId="166" fontId="1" fillId="4" borderId="6" applyNumberFormat="0" applyBorder="0" applyAlignment="0">
      <alignment horizontal="center" vertical="center"/>
      <protection locked="0"/>
    </xf>
    <xf numFmtId="166" fontId="1" fillId="5" borderId="6" applyNumberFormat="0" applyBorder="0" applyAlignment="0">
      <alignment horizontal="center" vertical="center"/>
      <protection locked="0"/>
    </xf>
    <xf numFmtId="166" fontId="1" fillId="4" borderId="6" applyNumberFormat="0" applyBorder="0" applyAlignment="0">
      <alignment horizontal="center" vertical="center"/>
    </xf>
    <xf numFmtId="0" fontId="5" fillId="6" borderId="7">
      <alignment horizontal="center"/>
    </xf>
    <xf numFmtId="0" fontId="6" fillId="7" borderId="4" applyNumberFormat="0" applyBorder="0" applyAlignment="0">
      <alignment horizontal="center" vertical="center"/>
    </xf>
    <xf numFmtId="166" fontId="7" fillId="8" borderId="0" applyNumberFormat="0" applyBorder="0" applyAlignment="0">
      <alignment horizontal="center"/>
    </xf>
    <xf numFmtId="0" fontId="8" fillId="9" borderId="0" applyNumberFormat="0" applyBorder="0" applyAlignment="0"/>
    <xf numFmtId="0" fontId="9" fillId="9" borderId="0" applyNumberFormat="0" applyBorder="0" applyAlignment="0">
      <alignment horizontal="centerContinuous"/>
    </xf>
    <xf numFmtId="0" fontId="10" fillId="9" borderId="0" applyNumberFormat="0" applyBorder="0" applyAlignment="0">
      <alignment horizontal="center"/>
    </xf>
    <xf numFmtId="0" fontId="8" fillId="9" borderId="4" applyNumberFormat="0" applyBorder="0" applyAlignment="0"/>
    <xf numFmtId="0" fontId="9" fillId="9" borderId="4" applyNumberFormat="0" applyBorder="0" applyAlignment="0">
      <alignment horizontal="centerContinuous"/>
    </xf>
    <xf numFmtId="0" fontId="10" fillId="9" borderId="4" applyNumberFormat="0" applyBorder="0" applyAlignment="0">
      <alignment horizontal="center"/>
    </xf>
    <xf numFmtId="0" fontId="11" fillId="9" borderId="0" applyNumberFormat="0" applyBorder="0" applyAlignment="0">
      <alignment horizontal="left"/>
    </xf>
    <xf numFmtId="167" fontId="1" fillId="8" borderId="0" applyNumberFormat="0" applyBorder="0" applyAlignment="0">
      <alignment horizontal="center"/>
      <protection hidden="1"/>
    </xf>
    <xf numFmtId="166" fontId="1" fillId="10" borderId="4" applyNumberFormat="0" applyBorder="0" applyAlignment="0">
      <alignment horizontal="center" vertical="center"/>
    </xf>
    <xf numFmtId="0" fontId="1" fillId="0" borderId="0"/>
    <xf numFmtId="0" fontId="1" fillId="0" borderId="0"/>
    <xf numFmtId="0" fontId="1" fillId="11" borderId="0">
      <alignment horizontal="center"/>
      <protection locked="0"/>
    </xf>
    <xf numFmtId="0" fontId="1" fillId="8" borderId="0" applyNumberFormat="0" applyBorder="0" applyAlignment="0">
      <alignment horizontal="center"/>
    </xf>
    <xf numFmtId="0" fontId="1" fillId="9" borderId="0" applyNumberFormat="0" applyBorder="0" applyAlignment="0">
      <protection locked="0"/>
    </xf>
    <xf numFmtId="168" fontId="1" fillId="12" borderId="6" applyNumberFormat="0" applyBorder="0" applyAlignment="0">
      <alignment horizontal="center" vertical="center"/>
      <protection locked="0"/>
    </xf>
    <xf numFmtId="166" fontId="12" fillId="13" borderId="6" applyNumberFormat="0" applyBorder="0" applyAlignment="0">
      <alignment horizontal="center" vertical="center"/>
      <protection locked="0"/>
    </xf>
    <xf numFmtId="0" fontId="13" fillId="8" borderId="0" applyNumberFormat="0" applyBorder="0" applyAlignment="0">
      <alignment horizontal="center"/>
      <protection locked="0"/>
    </xf>
  </cellStyleXfs>
  <cellXfs count="209">
    <xf numFmtId="0" fontId="0" fillId="0" borderId="0" xfId="0"/>
    <xf numFmtId="0" fontId="0" fillId="0" borderId="1" xfId="0" applyBorder="1"/>
    <xf numFmtId="0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2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 vertical="center"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0" fillId="0" borderId="0" xfId="0" applyAlignment="1">
      <alignment horizontal="right"/>
    </xf>
    <xf numFmtId="0" fontId="3" fillId="0" borderId="0" xfId="0" applyNumberFormat="1" applyFont="1" applyFill="1" applyAlignment="1">
      <alignment horizontal="center" vertical="center"/>
    </xf>
    <xf numFmtId="2" fontId="0" fillId="0" borderId="0" xfId="0" applyNumberFormat="1"/>
    <xf numFmtId="0" fontId="3" fillId="0" borderId="0" xfId="0" applyFont="1" applyAlignment="1">
      <alignment horizontal="center" vertic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0" xfId="0" applyBorder="1"/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3" fontId="0" fillId="0" borderId="0" xfId="0" applyNumberFormat="1"/>
    <xf numFmtId="170" fontId="24" fillId="0" borderId="0" xfId="0" applyNumberFormat="1" applyFont="1"/>
    <xf numFmtId="0" fontId="0" fillId="14" borderId="8" xfId="0" applyFill="1" applyBorder="1"/>
    <xf numFmtId="0" fontId="0" fillId="14" borderId="9" xfId="0" applyFill="1" applyBorder="1" applyAlignment="1">
      <alignment horizontal="right"/>
    </xf>
    <xf numFmtId="0" fontId="3" fillId="14" borderId="9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169" fontId="0" fillId="0" borderId="0" xfId="0" applyNumberFormat="1" applyAlignment="1">
      <alignment horizontal="center" vertical="center"/>
    </xf>
    <xf numFmtId="164" fontId="22" fillId="0" borderId="4" xfId="0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/>
    </xf>
    <xf numFmtId="0" fontId="0" fillId="14" borderId="12" xfId="0" applyFill="1" applyBorder="1"/>
    <xf numFmtId="164" fontId="0" fillId="0" borderId="4" xfId="0" applyNumberFormat="1" applyFont="1" applyBorder="1" applyAlignment="1">
      <alignment horizontal="center" vertical="center"/>
    </xf>
    <xf numFmtId="2" fontId="0" fillId="0" borderId="4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3" fillId="14" borderId="8" xfId="0" applyFont="1" applyFill="1" applyBorder="1" applyAlignment="1">
      <alignment horizontal="center" vertical="center"/>
    </xf>
    <xf numFmtId="0" fontId="3" fillId="14" borderId="9" xfId="0" applyFont="1" applyFill="1" applyBorder="1" applyAlignment="1">
      <alignment horizontal="center" vertical="center"/>
    </xf>
    <xf numFmtId="0" fontId="3" fillId="14" borderId="12" xfId="0" applyFont="1" applyFill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0" fillId="0" borderId="0" xfId="0" applyFill="1"/>
    <xf numFmtId="0" fontId="20" fillId="0" borderId="0" xfId="0" applyFont="1" applyAlignment="1">
      <alignment horizontal="center" vertical="center"/>
    </xf>
    <xf numFmtId="10" fontId="1" fillId="15" borderId="3" xfId="0" applyNumberFormat="1" applyFont="1" applyFill="1" applyBorder="1" applyAlignment="1">
      <alignment horizontal="center" vertical="center"/>
    </xf>
    <xf numFmtId="10" fontId="0" fillId="16" borderId="17" xfId="0" applyNumberFormat="1" applyFill="1" applyBorder="1" applyAlignment="1">
      <alignment horizontal="center" vertical="center"/>
    </xf>
    <xf numFmtId="10" fontId="0" fillId="16" borderId="4" xfId="0" applyNumberFormat="1" applyFill="1" applyBorder="1" applyAlignment="1">
      <alignment horizontal="center" vertical="center"/>
    </xf>
    <xf numFmtId="164" fontId="0" fillId="16" borderId="0" xfId="0" applyNumberFormat="1" applyFill="1" applyAlignment="1">
      <alignment horizontal="center" vertical="center"/>
    </xf>
    <xf numFmtId="0" fontId="0" fillId="0" borderId="0" xfId="0" applyFill="1" applyAlignment="1">
      <alignment vertical="center"/>
    </xf>
    <xf numFmtId="2" fontId="0" fillId="16" borderId="0" xfId="0" applyNumberFormat="1" applyFill="1" applyAlignment="1">
      <alignment horizontal="center" vertical="center"/>
    </xf>
    <xf numFmtId="171" fontId="0" fillId="16" borderId="0" xfId="0" applyNumberFormat="1" applyFill="1" applyAlignment="1">
      <alignment horizontal="center" vertical="center"/>
    </xf>
    <xf numFmtId="10" fontId="0" fillId="16" borderId="0" xfId="0" applyNumberFormat="1" applyFill="1" applyAlignment="1">
      <alignment horizontal="center"/>
    </xf>
    <xf numFmtId="2" fontId="0" fillId="16" borderId="4" xfId="0" applyNumberForma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right"/>
    </xf>
    <xf numFmtId="164" fontId="0" fillId="0" borderId="0" xfId="0" applyNumberFormat="1" applyFill="1" applyAlignment="1">
      <alignment horizontal="center" vertical="center"/>
    </xf>
    <xf numFmtId="10" fontId="0" fillId="0" borderId="0" xfId="0" applyNumberFormat="1" applyFill="1" applyAlignment="1">
      <alignment horizontal="center" vertical="center"/>
    </xf>
    <xf numFmtId="171" fontId="0" fillId="16" borderId="4" xfId="0" applyNumberFormat="1" applyFill="1" applyBorder="1" applyAlignment="1">
      <alignment horizontal="center"/>
    </xf>
    <xf numFmtId="164" fontId="0" fillId="16" borderId="0" xfId="0" applyNumberFormat="1" applyFill="1" applyAlignment="1">
      <alignment horizontal="center"/>
    </xf>
    <xf numFmtId="2" fontId="0" fillId="16" borderId="0" xfId="0" applyNumberFormat="1" applyFill="1" applyAlignment="1">
      <alignment horizontal="center"/>
    </xf>
    <xf numFmtId="0" fontId="0" fillId="0" borderId="0" xfId="0" applyFill="1" applyBorder="1" applyAlignment="1">
      <alignment horizontal="right"/>
    </xf>
    <xf numFmtId="10" fontId="0" fillId="0" borderId="0" xfId="0" applyNumberFormat="1" applyAlignment="1">
      <alignment horizontal="center"/>
    </xf>
    <xf numFmtId="0" fontId="0" fillId="0" borderId="0" xfId="0" applyFont="1" applyAlignment="1">
      <alignment horizontal="right" vertical="center"/>
    </xf>
    <xf numFmtId="10" fontId="0" fillId="0" borderId="0" xfId="0" applyNumberForma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14" borderId="8" xfId="0" applyFont="1" applyFill="1" applyBorder="1" applyAlignment="1">
      <alignment horizontal="left" vertical="center"/>
    </xf>
    <xf numFmtId="9" fontId="1" fillId="2" borderId="3" xfId="0" applyNumberFormat="1" applyFont="1" applyFill="1" applyBorder="1" applyAlignment="1">
      <alignment horizontal="center" vertical="center"/>
    </xf>
    <xf numFmtId="0" fontId="3" fillId="14" borderId="18" xfId="0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0" fillId="0" borderId="16" xfId="0" applyBorder="1"/>
    <xf numFmtId="0" fontId="3" fillId="0" borderId="0" xfId="0" applyFont="1" applyAlignment="1">
      <alignment horizontal="right"/>
    </xf>
    <xf numFmtId="0" fontId="1" fillId="0" borderId="4" xfId="0" applyFont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  <xf numFmtId="0" fontId="21" fillId="17" borderId="10" xfId="0" applyFont="1" applyFill="1" applyBorder="1"/>
    <xf numFmtId="0" fontId="21" fillId="17" borderId="11" xfId="0" applyFont="1" applyFill="1" applyBorder="1" applyAlignment="1">
      <alignment horizontal="center" vertical="center"/>
    </xf>
    <xf numFmtId="0" fontId="21" fillId="17" borderId="10" xfId="0" applyFont="1" applyFill="1" applyBorder="1" applyAlignment="1">
      <alignment horizontal="center" vertical="center"/>
    </xf>
    <xf numFmtId="10" fontId="1" fillId="18" borderId="19" xfId="0" applyNumberFormat="1" applyFont="1" applyFill="1" applyBorder="1" applyAlignment="1">
      <alignment horizontal="center" vertical="center"/>
    </xf>
    <xf numFmtId="0" fontId="3" fillId="19" borderId="1" xfId="0" applyFont="1" applyFill="1" applyBorder="1"/>
    <xf numFmtId="0" fontId="3" fillId="19" borderId="2" xfId="0" applyFont="1" applyFill="1" applyBorder="1"/>
    <xf numFmtId="0" fontId="3" fillId="19" borderId="2" xfId="0" applyFont="1" applyFill="1" applyBorder="1" applyAlignment="1">
      <alignment horizontal="right" vertical="center"/>
    </xf>
    <xf numFmtId="0" fontId="3" fillId="19" borderId="2" xfId="0" applyFont="1" applyFill="1" applyBorder="1" applyAlignment="1">
      <alignment horizontal="center" vertical="center"/>
    </xf>
    <xf numFmtId="0" fontId="3" fillId="19" borderId="2" xfId="0" applyFont="1" applyFill="1" applyBorder="1" applyAlignment="1">
      <alignment vertical="center"/>
    </xf>
    <xf numFmtId="1" fontId="0" fillId="0" borderId="0" xfId="0" applyNumberFormat="1"/>
    <xf numFmtId="9" fontId="1" fillId="18" borderId="19" xfId="0" applyNumberFormat="1" applyFont="1" applyFill="1" applyBorder="1" applyAlignment="1">
      <alignment horizontal="center" vertical="center"/>
    </xf>
    <xf numFmtId="171" fontId="0" fillId="0" borderId="0" xfId="0" applyNumberFormat="1" applyAlignment="1">
      <alignment horizontal="center" vertical="center"/>
    </xf>
    <xf numFmtId="0" fontId="0" fillId="17" borderId="8" xfId="0" applyFill="1" applyBorder="1"/>
    <xf numFmtId="0" fontId="25" fillId="17" borderId="9" xfId="0" applyFont="1" applyFill="1" applyBorder="1" applyAlignment="1">
      <alignment horizontal="left" vertical="center"/>
    </xf>
    <xf numFmtId="0" fontId="0" fillId="17" borderId="9" xfId="0" applyFill="1" applyBorder="1"/>
    <xf numFmtId="0" fontId="0" fillId="17" borderId="12" xfId="0" applyFill="1" applyBorder="1"/>
    <xf numFmtId="10" fontId="0" fillId="0" borderId="21" xfId="0" applyNumberFormat="1" applyFill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9" fontId="1" fillId="2" borderId="22" xfId="0" applyNumberFormat="1" applyFont="1" applyFill="1" applyBorder="1" applyAlignment="1">
      <alignment horizontal="center" vertical="center"/>
    </xf>
    <xf numFmtId="0" fontId="3" fillId="0" borderId="0" xfId="0" applyFont="1"/>
    <xf numFmtId="0" fontId="3" fillId="20" borderId="9" xfId="0" applyFont="1" applyFill="1" applyBorder="1" applyAlignment="1">
      <alignment vertical="center"/>
    </xf>
    <xf numFmtId="0" fontId="3" fillId="20" borderId="8" xfId="0" applyFont="1" applyFill="1" applyBorder="1" applyAlignment="1">
      <alignment horizontal="center" vertical="top"/>
    </xf>
    <xf numFmtId="1" fontId="0" fillId="0" borderId="0" xfId="0" applyNumberFormat="1" applyAlignment="1">
      <alignment horizontal="center" vertical="center"/>
    </xf>
    <xf numFmtId="0" fontId="0" fillId="17" borderId="0" xfId="0" applyFill="1" applyAlignment="1">
      <alignment vertical="center"/>
    </xf>
    <xf numFmtId="0" fontId="3" fillId="17" borderId="0" xfId="0" applyFont="1" applyFill="1" applyAlignment="1">
      <alignment vertical="top"/>
    </xf>
    <xf numFmtId="0" fontId="1" fillId="0" borderId="0" xfId="0" applyNumberFormat="1" applyFont="1" applyBorder="1" applyAlignment="1">
      <alignment horizontal="center" vertical="center"/>
    </xf>
    <xf numFmtId="164" fontId="22" fillId="26" borderId="4" xfId="0" applyNumberFormat="1" applyFont="1" applyFill="1" applyBorder="1" applyAlignment="1">
      <alignment horizontal="center" vertical="center"/>
    </xf>
    <xf numFmtId="0" fontId="20" fillId="0" borderId="0" xfId="0" applyFont="1"/>
    <xf numFmtId="2" fontId="0" fillId="0" borderId="0" xfId="0" applyNumberForma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1" fontId="1" fillId="2" borderId="3" xfId="0" applyNumberFormat="1" applyFont="1" applyFill="1" applyBorder="1" applyAlignment="1">
      <alignment horizontal="center" vertical="center"/>
    </xf>
    <xf numFmtId="0" fontId="22" fillId="26" borderId="4" xfId="0" applyFont="1" applyFill="1" applyBorder="1" applyAlignment="1">
      <alignment horizontal="center" vertical="center"/>
    </xf>
    <xf numFmtId="0" fontId="3" fillId="20" borderId="8" xfId="0" applyFont="1" applyFill="1" applyBorder="1" applyAlignment="1">
      <alignment vertical="top"/>
    </xf>
    <xf numFmtId="0" fontId="3" fillId="20" borderId="12" xfId="0" applyFont="1" applyFill="1" applyBorder="1" applyAlignment="1">
      <alignment vertical="center"/>
    </xf>
    <xf numFmtId="0" fontId="22" fillId="0" borderId="4" xfId="0" applyFont="1" applyFill="1" applyBorder="1"/>
    <xf numFmtId="0" fontId="3" fillId="0" borderId="17" xfId="0" applyFont="1" applyBorder="1" applyAlignment="1">
      <alignment horizontal="center" vertical="center"/>
    </xf>
    <xf numFmtId="0" fontId="3" fillId="0" borderId="23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10" fontId="0" fillId="0" borderId="0" xfId="0" applyNumberFormat="1" applyFill="1" applyBorder="1" applyAlignment="1">
      <alignment horizontal="center"/>
    </xf>
    <xf numFmtId="0" fontId="0" fillId="22" borderId="4" xfId="0" applyFont="1" applyFill="1" applyBorder="1" applyAlignment="1">
      <alignment horizontal="center" vertical="center"/>
    </xf>
    <xf numFmtId="2" fontId="0" fillId="22" borderId="4" xfId="0" applyNumberFormat="1" applyFont="1" applyFill="1" applyBorder="1" applyAlignment="1">
      <alignment horizontal="center" vertical="center"/>
    </xf>
    <xf numFmtId="172" fontId="0" fillId="22" borderId="4" xfId="0" applyNumberFormat="1" applyFont="1" applyFill="1" applyBorder="1" applyAlignment="1">
      <alignment horizontal="center" vertical="center"/>
    </xf>
    <xf numFmtId="0" fontId="0" fillId="25" borderId="24" xfId="0" applyFill="1" applyBorder="1" applyAlignment="1">
      <alignment horizontal="center" vertical="center"/>
    </xf>
    <xf numFmtId="0" fontId="0" fillId="23" borderId="24" xfId="0" applyFill="1" applyBorder="1" applyAlignment="1">
      <alignment horizontal="center" vertical="center"/>
    </xf>
    <xf numFmtId="0" fontId="0" fillId="24" borderId="21" xfId="0" applyFill="1" applyBorder="1" applyAlignment="1">
      <alignment horizontal="center" vertical="center"/>
    </xf>
    <xf numFmtId="0" fontId="0" fillId="24" borderId="24" xfId="0" applyFill="1" applyBorder="1" applyAlignment="1">
      <alignment horizontal="center" vertical="center"/>
    </xf>
    <xf numFmtId="0" fontId="18" fillId="0" borderId="0" xfId="0" applyFont="1"/>
    <xf numFmtId="0" fontId="21" fillId="25" borderId="24" xfId="0" applyFont="1" applyFill="1" applyBorder="1" applyAlignment="1">
      <alignment horizontal="center" vertical="center"/>
    </xf>
    <xf numFmtId="0" fontId="21" fillId="23" borderId="24" xfId="0" applyFont="1" applyFill="1" applyBorder="1" applyAlignment="1">
      <alignment horizontal="center" vertical="center"/>
    </xf>
    <xf numFmtId="0" fontId="21" fillId="24" borderId="24" xfId="0" applyFont="1" applyFill="1" applyBorder="1" applyAlignment="1">
      <alignment horizontal="center" vertical="center"/>
    </xf>
    <xf numFmtId="173" fontId="24" fillId="0" borderId="0" xfId="0" applyNumberFormat="1" applyFont="1"/>
    <xf numFmtId="3" fontId="0" fillId="0" borderId="0" xfId="0" applyNumberFormat="1" applyAlignment="1">
      <alignment horizontal="center" vertical="center"/>
    </xf>
    <xf numFmtId="0" fontId="3" fillId="17" borderId="0" xfId="0" applyFont="1" applyFill="1" applyAlignment="1">
      <alignment horizontal="center" vertical="center"/>
    </xf>
    <xf numFmtId="1" fontId="3" fillId="17" borderId="0" xfId="0" applyNumberFormat="1" applyFont="1" applyFill="1" applyAlignment="1">
      <alignment horizontal="center"/>
    </xf>
    <xf numFmtId="169" fontId="0" fillId="0" borderId="0" xfId="0" applyNumberFormat="1" applyAlignment="1">
      <alignment horizontal="center"/>
    </xf>
    <xf numFmtId="171" fontId="0" fillId="16" borderId="20" xfId="0" applyNumberFormat="1" applyFill="1" applyBorder="1" applyAlignment="1">
      <alignment horizontal="center"/>
    </xf>
    <xf numFmtId="9" fontId="1" fillId="18" borderId="25" xfId="0" applyNumberFormat="1" applyFont="1" applyFill="1" applyBorder="1" applyAlignment="1">
      <alignment horizontal="center" vertical="center"/>
    </xf>
    <xf numFmtId="1" fontId="0" fillId="27" borderId="4" xfId="0" applyNumberFormat="1" applyFill="1" applyBorder="1" applyAlignment="1">
      <alignment horizontal="center" vertical="center"/>
    </xf>
    <xf numFmtId="3" fontId="1" fillId="0" borderId="4" xfId="0" applyNumberFormat="1" applyFont="1" applyFill="1" applyBorder="1" applyAlignment="1">
      <alignment horizontal="right" vertical="center"/>
    </xf>
    <xf numFmtId="3" fontId="0" fillId="0" borderId="4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 horizontal="right"/>
    </xf>
    <xf numFmtId="3" fontId="0" fillId="0" borderId="4" xfId="0" applyNumberFormat="1" applyBorder="1" applyAlignment="1">
      <alignment horizontal="right" vertical="center"/>
    </xf>
    <xf numFmtId="3" fontId="0" fillId="0" borderId="4" xfId="0" applyNumberFormat="1" applyFont="1" applyBorder="1" applyAlignment="1">
      <alignment horizontal="right" vertical="center"/>
    </xf>
    <xf numFmtId="3" fontId="0" fillId="0" borderId="4" xfId="0" applyNumberFormat="1" applyFont="1" applyBorder="1" applyAlignment="1">
      <alignment horizontal="right" vertical="center" shrinkToFit="1"/>
    </xf>
    <xf numFmtId="3" fontId="0" fillId="0" borderId="4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4" xfId="0" applyNumberFormat="1" applyBorder="1"/>
    <xf numFmtId="1" fontId="0" fillId="25" borderId="24" xfId="0" applyNumberFormat="1" applyFill="1" applyBorder="1" applyAlignment="1">
      <alignment horizontal="center" vertical="center"/>
    </xf>
    <xf numFmtId="2" fontId="0" fillId="23" borderId="24" xfId="0" applyNumberFormat="1" applyFill="1" applyBorder="1" applyAlignment="1">
      <alignment horizontal="center" vertical="center"/>
    </xf>
    <xf numFmtId="172" fontId="0" fillId="24" borderId="21" xfId="0" applyNumberFormat="1" applyFill="1" applyBorder="1" applyAlignment="1">
      <alignment horizontal="center" vertical="center"/>
    </xf>
    <xf numFmtId="172" fontId="0" fillId="24" borderId="24" xfId="0" applyNumberFormat="1" applyFill="1" applyBorder="1" applyAlignment="1">
      <alignment horizontal="center" vertical="center"/>
    </xf>
    <xf numFmtId="1" fontId="0" fillId="23" borderId="24" xfId="0" applyNumberFormat="1" applyFill="1" applyBorder="1" applyAlignment="1">
      <alignment horizontal="center" vertical="center"/>
    </xf>
    <xf numFmtId="1" fontId="0" fillId="24" borderId="24" xfId="0" applyNumberFormat="1" applyFill="1" applyBorder="1" applyAlignment="1">
      <alignment horizontal="center" vertical="center"/>
    </xf>
    <xf numFmtId="171" fontId="0" fillId="17" borderId="4" xfId="0" applyNumberFormat="1" applyFill="1" applyBorder="1" applyAlignment="1">
      <alignment horizontal="center" vertical="center"/>
    </xf>
    <xf numFmtId="3" fontId="3" fillId="28" borderId="4" xfId="0" applyNumberFormat="1" applyFont="1" applyFill="1" applyBorder="1" applyAlignment="1">
      <alignment horizontal="center" vertical="center"/>
    </xf>
    <xf numFmtId="3" fontId="0" fillId="2" borderId="3" xfId="0" quotePrefix="1" applyNumberFormat="1" applyFont="1" applyFill="1" applyBorder="1" applyAlignment="1">
      <alignment horizontal="center" vertical="center"/>
    </xf>
    <xf numFmtId="3" fontId="1" fillId="18" borderId="19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0" fontId="0" fillId="27" borderId="0" xfId="0" applyFill="1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171" fontId="1" fillId="2" borderId="26" xfId="0" applyNumberFormat="1" applyFont="1" applyFill="1" applyBorder="1" applyAlignment="1">
      <alignment horizontal="center" vertical="center"/>
    </xf>
    <xf numFmtId="0" fontId="0" fillId="0" borderId="4" xfId="0" applyNumberFormat="1" applyFont="1" applyBorder="1" applyAlignment="1">
      <alignment horizontal="center" vertical="center"/>
    </xf>
    <xf numFmtId="0" fontId="22" fillId="0" borderId="0" xfId="0" applyFont="1" applyAlignment="1">
      <alignment horizontal="right" vertical="center"/>
    </xf>
    <xf numFmtId="2" fontId="22" fillId="0" borderId="0" xfId="0" applyNumberFormat="1" applyFont="1" applyAlignment="1">
      <alignment horizontal="center" vertical="center"/>
    </xf>
    <xf numFmtId="171" fontId="0" fillId="16" borderId="13" xfId="0" applyNumberFormat="1" applyFill="1" applyBorder="1" applyAlignment="1">
      <alignment horizontal="center"/>
    </xf>
    <xf numFmtId="171" fontId="0" fillId="16" borderId="27" xfId="0" applyNumberFormat="1" applyFill="1" applyBorder="1" applyAlignment="1">
      <alignment horizontal="center"/>
    </xf>
    <xf numFmtId="0" fontId="3" fillId="14" borderId="27" xfId="0" applyFont="1" applyFill="1" applyBorder="1" applyAlignment="1">
      <alignment horizontal="center" vertical="center"/>
    </xf>
    <xf numFmtId="1" fontId="0" fillId="27" borderId="17" xfId="0" applyNumberFormat="1" applyFill="1" applyBorder="1" applyAlignment="1">
      <alignment horizontal="center" vertical="center"/>
    </xf>
    <xf numFmtId="10" fontId="0" fillId="16" borderId="0" xfId="0" applyNumberFormat="1" applyFill="1" applyBorder="1" applyAlignment="1">
      <alignment horizontal="center"/>
    </xf>
    <xf numFmtId="1" fontId="0" fillId="27" borderId="8" xfId="0" applyNumberFormat="1" applyFill="1" applyBorder="1" applyAlignment="1">
      <alignment horizontal="center" vertical="center"/>
    </xf>
    <xf numFmtId="171" fontId="0" fillId="16" borderId="12" xfId="0" applyNumberFormat="1" applyFill="1" applyBorder="1" applyAlignment="1">
      <alignment horizontal="center"/>
    </xf>
    <xf numFmtId="1" fontId="0" fillId="27" borderId="21" xfId="0" applyNumberFormat="1" applyFill="1" applyBorder="1" applyAlignment="1">
      <alignment horizontal="center" vertical="center"/>
    </xf>
    <xf numFmtId="0" fontId="3" fillId="14" borderId="13" xfId="0" applyFont="1" applyFill="1" applyBorder="1" applyAlignment="1">
      <alignment horizontal="left" vertical="center"/>
    </xf>
    <xf numFmtId="171" fontId="0" fillId="16" borderId="28" xfId="0" applyNumberFormat="1" applyFill="1" applyBorder="1" applyAlignment="1">
      <alignment horizontal="center"/>
    </xf>
    <xf numFmtId="1" fontId="0" fillId="27" borderId="29" xfId="0" applyNumberFormat="1" applyFill="1" applyBorder="1" applyAlignment="1">
      <alignment horizontal="center" vertical="center"/>
    </xf>
    <xf numFmtId="0" fontId="3" fillId="14" borderId="4" xfId="0" applyFont="1" applyFill="1" applyBorder="1" applyAlignment="1">
      <alignment horizontal="left" vertical="center"/>
    </xf>
    <xf numFmtId="0" fontId="41" fillId="14" borderId="13" xfId="0" applyFont="1" applyFill="1" applyBorder="1" applyAlignment="1">
      <alignment horizontal="left" vertical="center"/>
    </xf>
    <xf numFmtId="0" fontId="3" fillId="14" borderId="4" xfId="0" applyFont="1" applyFill="1" applyBorder="1" applyAlignment="1">
      <alignment horizontal="center" vertical="center"/>
    </xf>
    <xf numFmtId="0" fontId="43" fillId="14" borderId="8" xfId="0" applyFont="1" applyFill="1" applyBorder="1" applyAlignment="1">
      <alignment horizontal="left" vertical="center"/>
    </xf>
    <xf numFmtId="1" fontId="0" fillId="0" borderId="0" xfId="0" applyNumberFormat="1" applyAlignment="1">
      <alignment horizontal="right"/>
    </xf>
    <xf numFmtId="164" fontId="0" fillId="0" borderId="0" xfId="0" applyNumberFormat="1"/>
    <xf numFmtId="174" fontId="0" fillId="0" borderId="0" xfId="0" applyNumberFormat="1"/>
    <xf numFmtId="171" fontId="0" fillId="0" borderId="0" xfId="0" applyNumberFormat="1"/>
    <xf numFmtId="0" fontId="3" fillId="14" borderId="20" xfId="0" applyFont="1" applyFill="1" applyBorder="1" applyAlignment="1">
      <alignment horizontal="left" vertical="center"/>
    </xf>
    <xf numFmtId="9" fontId="0" fillId="28" borderId="4" xfId="0" applyNumberFormat="1" applyFont="1" applyFill="1" applyBorder="1" applyAlignment="1">
      <alignment horizontal="center" vertical="center"/>
    </xf>
    <xf numFmtId="1" fontId="0" fillId="27" borderId="4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10" fontId="0" fillId="0" borderId="0" xfId="0" applyNumberFormat="1" applyFont="1" applyFill="1" applyBorder="1" applyAlignment="1">
      <alignment horizontal="right" vertical="center"/>
    </xf>
    <xf numFmtId="174" fontId="0" fillId="0" borderId="0" xfId="0" applyNumberFormat="1" applyFont="1" applyFill="1" applyBorder="1" applyAlignment="1">
      <alignment horizontal="right" vertical="center"/>
    </xf>
    <xf numFmtId="171" fontId="0" fillId="0" borderId="0" xfId="0" applyNumberFormat="1" applyFont="1" applyFill="1" applyBorder="1" applyAlignment="1">
      <alignment horizontal="right" vertical="center"/>
    </xf>
    <xf numFmtId="10" fontId="1" fillId="2" borderId="3" xfId="0" applyNumberFormat="1" applyFont="1" applyFill="1" applyBorder="1" applyAlignment="1">
      <alignment horizontal="center" vertical="center"/>
    </xf>
    <xf numFmtId="1" fontId="1" fillId="2" borderId="22" xfId="0" applyNumberFormat="1" applyFont="1" applyFill="1" applyBorder="1" applyAlignment="1">
      <alignment horizontal="center" vertical="center"/>
    </xf>
    <xf numFmtId="0" fontId="3" fillId="14" borderId="8" xfId="0" applyFont="1" applyFill="1" applyBorder="1" applyAlignment="1">
      <alignment horizontal="center" vertical="center"/>
    </xf>
    <xf numFmtId="0" fontId="3" fillId="14" borderId="9" xfId="0" applyFont="1" applyFill="1" applyBorder="1" applyAlignment="1">
      <alignment horizontal="center" vertical="center"/>
    </xf>
    <xf numFmtId="0" fontId="3" fillId="14" borderId="12" xfId="0" applyFont="1" applyFill="1" applyBorder="1" applyAlignment="1">
      <alignment horizontal="center" vertical="center"/>
    </xf>
    <xf numFmtId="0" fontId="32" fillId="19" borderId="1" xfId="0" applyFont="1" applyFill="1" applyBorder="1" applyAlignment="1">
      <alignment horizontal="center" vertical="center"/>
    </xf>
    <xf numFmtId="0" fontId="42" fillId="29" borderId="0" xfId="0" applyFont="1" applyFill="1" applyAlignment="1">
      <alignment horizontal="center"/>
    </xf>
    <xf numFmtId="0" fontId="0" fillId="21" borderId="9" xfId="0" applyFont="1" applyFill="1" applyBorder="1" applyAlignment="1">
      <alignment horizontal="center"/>
    </xf>
    <xf numFmtId="0" fontId="0" fillId="21" borderId="1" xfId="0" applyFont="1" applyFill="1" applyBorder="1" applyAlignment="1">
      <alignment horizontal="center"/>
    </xf>
    <xf numFmtId="0" fontId="35" fillId="17" borderId="8" xfId="0" applyFont="1" applyFill="1" applyBorder="1" applyAlignment="1">
      <alignment horizontal="center" vertical="center"/>
    </xf>
    <xf numFmtId="0" fontId="35" fillId="17" borderId="9" xfId="0" applyFont="1" applyFill="1" applyBorder="1" applyAlignment="1">
      <alignment horizontal="center" vertical="center"/>
    </xf>
    <xf numFmtId="0" fontId="35" fillId="17" borderId="12" xfId="0" applyFont="1" applyFill="1" applyBorder="1" applyAlignment="1">
      <alignment horizontal="center" vertical="center"/>
    </xf>
    <xf numFmtId="0" fontId="26" fillId="30" borderId="0" xfId="0" applyFont="1" applyFill="1" applyAlignment="1">
      <alignment horizontal="center"/>
    </xf>
    <xf numFmtId="164" fontId="0" fillId="27" borderId="4" xfId="0" applyNumberFormat="1" applyFill="1" applyBorder="1" applyAlignment="1">
      <alignment horizontal="center" vertical="center"/>
    </xf>
  </cellXfs>
  <cellStyles count="25">
    <cellStyle name="AuditCheck" xfId="1"/>
    <cellStyle name="CalcDataFree" xfId="2"/>
    <cellStyle name="CalcDataLimn" xfId="3"/>
    <cellStyle name="CalculatedData" xfId="4"/>
    <cellStyle name="ControlledCell" xfId="5"/>
    <cellStyle name="DataBlock" xfId="6"/>
    <cellStyle name="Diagnostic" xfId="7"/>
    <cellStyle name="Heading1" xfId="8"/>
    <cellStyle name="Heading2" xfId="9"/>
    <cellStyle name="Heading3" xfId="10"/>
    <cellStyle name="Heading4" xfId="11"/>
    <cellStyle name="Heading5" xfId="12"/>
    <cellStyle name="Heading6" xfId="13"/>
    <cellStyle name="Heading7" xfId="14"/>
    <cellStyle name="Hidden" xfId="15"/>
    <cellStyle name="ManualLinks" xfId="16"/>
    <cellStyle name="Normal" xfId="0" builtinId="0"/>
    <cellStyle name="Normal 2" xfId="17"/>
    <cellStyle name="Normal 3" xfId="18"/>
    <cellStyle name="NormalFree_CoalWizard" xfId="19"/>
    <cellStyle name="NormalProtected" xfId="20"/>
    <cellStyle name="NormalUnprotected" xfId="21"/>
    <cellStyle name="UserFormula" xfId="22"/>
    <cellStyle name="UserInput" xfId="23"/>
    <cellStyle name="UserText" xfId="24"/>
  </cellStyles>
  <dxfs count="0"/>
  <tableStyles count="0" defaultTableStyle="TableStyleMedium2" defaultPivotStyle="PivotStyleLight16"/>
  <colors>
    <mruColors>
      <color rgb="FFFFEEB7"/>
      <color rgb="FFDFC9EF"/>
      <color rgb="FFD3B5E9"/>
      <color rgb="FF8FFFC2"/>
      <color rgb="FFFFFF99"/>
      <color rgb="FF69FFAD"/>
      <color rgb="FFCCFFFF"/>
      <color rgb="FFFF9900"/>
      <color rgb="FFFF9797"/>
      <color rgb="FF9FFFC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Heat Content of Offgas Species</a:t>
            </a:r>
            <a:r>
              <a:rPr lang="en-US" sz="1400" baseline="0"/>
              <a:t> Above 25°C</a:t>
            </a:r>
            <a:endParaRPr lang="en-US" sz="1400"/>
          </a:p>
        </c:rich>
      </c:tx>
      <c:layout>
        <c:manualLayout>
          <c:xMode val="edge"/>
          <c:yMode val="edge"/>
          <c:x val="0.28346242894442758"/>
          <c:y val="8.0909241491788023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123386272092317"/>
          <c:y val="0.10585078917280599"/>
          <c:w val="0.81971782199629517"/>
          <c:h val="0.76819820852923559"/>
        </c:manualLayout>
      </c:layout>
      <c:scatterChart>
        <c:scatterStyle val="lineMarker"/>
        <c:varyColors val="0"/>
        <c:ser>
          <c:idx val="0"/>
          <c:order val="0"/>
          <c:tx>
            <c:strRef>
              <c:f>'MainEntry&amp;Data'!$D$51</c:f>
              <c:strCache>
                <c:ptCount val="1"/>
                <c:pt idx="0">
                  <c:v>O2, (g)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4"/>
          </c:marker>
          <c:trendline>
            <c:trendlineType val="poly"/>
            <c:order val="2"/>
            <c:dispRSqr val="0"/>
            <c:dispEq val="1"/>
            <c:trendlineLbl>
              <c:layout>
                <c:manualLayout>
                  <c:x val="-0.32098297271035037"/>
                  <c:y val="-0.21502111799960033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baseline="0"/>
                      <a:t>H, O2 = 1.173E-03T</a:t>
                    </a:r>
                    <a:r>
                      <a:rPr lang="en-US" baseline="30000"/>
                      <a:t>2</a:t>
                    </a:r>
                    <a:r>
                      <a:rPr lang="en-US" baseline="0"/>
                      <a:t> + 3.370E+01T - 2.509E+03</a:t>
                    </a:r>
                    <a:endParaRPr lang="en-US"/>
                  </a:p>
                </c:rich>
              </c:tx>
              <c:numFmt formatCode="0.000E+00" sourceLinked="0"/>
              <c:spPr>
                <a:solidFill>
                  <a:srgbClr val="69FFAD"/>
                </a:solidFill>
                <a:ln>
                  <a:solidFill>
                    <a:schemeClr val="tx1"/>
                  </a:solidFill>
                </a:ln>
              </c:spPr>
            </c:trendlineLbl>
          </c:trendline>
          <c:xVal>
            <c:numRef>
              <c:f>'MainEntry&amp;Data'!$C$52:$C$61</c:f>
              <c:numCache>
                <c:formatCode>General</c:formatCode>
                <c:ptCount val="10"/>
                <c:pt idx="0">
                  <c:v>1000.0000000000001</c:v>
                </c:pt>
                <c:pt idx="1">
                  <c:v>1100</c:v>
                </c:pt>
                <c:pt idx="2">
                  <c:v>1200</c:v>
                </c:pt>
                <c:pt idx="3">
                  <c:v>1300</c:v>
                </c:pt>
                <c:pt idx="4">
                  <c:v>1400</c:v>
                </c:pt>
                <c:pt idx="5">
                  <c:v>1500</c:v>
                </c:pt>
                <c:pt idx="6">
                  <c:v>1600</c:v>
                </c:pt>
                <c:pt idx="7">
                  <c:v>1700</c:v>
                </c:pt>
                <c:pt idx="8">
                  <c:v>1800</c:v>
                </c:pt>
                <c:pt idx="9">
                  <c:v>2000</c:v>
                </c:pt>
              </c:numCache>
            </c:numRef>
          </c:xVal>
          <c:yVal>
            <c:numRef>
              <c:f>'MainEntry&amp;Data'!$D$52:$D$61</c:f>
              <c:numCache>
                <c:formatCode>0</c:formatCode>
                <c:ptCount val="10"/>
                <c:pt idx="0">
                  <c:v>32370.926670798781</c:v>
                </c:pt>
                <c:pt idx="1">
                  <c:v>35977.319742433647</c:v>
                </c:pt>
                <c:pt idx="2">
                  <c:v>39613.788344239954</c:v>
                </c:pt>
                <c:pt idx="3">
                  <c:v>43277.722873553939</c:v>
                </c:pt>
                <c:pt idx="4">
                  <c:v>46967.102975914611</c:v>
                </c:pt>
                <c:pt idx="5">
                  <c:v>50680.392185175253</c:v>
                </c:pt>
                <c:pt idx="6">
                  <c:v>54416.454749551282</c:v>
                </c:pt>
                <c:pt idx="7">
                  <c:v>58174.489455868403</c:v>
                </c:pt>
                <c:pt idx="8">
                  <c:v>61953.976542173412</c:v>
                </c:pt>
                <c:pt idx="9">
                  <c:v>69576.386351177818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'MainEntry&amp;Data'!$E$51</c:f>
              <c:strCache>
                <c:ptCount val="1"/>
                <c:pt idx="0">
                  <c:v>N2, (g)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3"/>
          </c:marker>
          <c:trendline>
            <c:trendlineType val="poly"/>
            <c:order val="2"/>
            <c:dispRSqr val="0"/>
            <c:dispEq val="1"/>
            <c:trendlineLbl>
              <c:layout>
                <c:manualLayout>
                  <c:x val="-0.31902143722984722"/>
                  <c:y val="-0.17629221772111395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baseline="0"/>
                      <a:t>H, N2 = 1.229E-03T</a:t>
                    </a:r>
                    <a:r>
                      <a:rPr lang="en-US" baseline="30000"/>
                      <a:t>2</a:t>
                    </a:r>
                    <a:r>
                      <a:rPr lang="en-US" baseline="0"/>
                      <a:t> + 3.177E+01T - 2.417E+03</a:t>
                    </a:r>
                    <a:endParaRPr lang="en-US"/>
                  </a:p>
                </c:rich>
              </c:tx>
              <c:numFmt formatCode="0.000E+00" sourceLinked="0"/>
              <c:spPr>
                <a:solidFill>
                  <a:srgbClr val="69FFAD"/>
                </a:solidFill>
                <a:ln>
                  <a:solidFill>
                    <a:schemeClr val="tx1"/>
                  </a:solidFill>
                </a:ln>
              </c:spPr>
            </c:trendlineLbl>
          </c:trendline>
          <c:xVal>
            <c:numRef>
              <c:f>'MainEntry&amp;Data'!$C$52:$C$61</c:f>
              <c:numCache>
                <c:formatCode>General</c:formatCode>
                <c:ptCount val="10"/>
                <c:pt idx="0">
                  <c:v>1000.0000000000001</c:v>
                </c:pt>
                <c:pt idx="1">
                  <c:v>1100</c:v>
                </c:pt>
                <c:pt idx="2">
                  <c:v>1200</c:v>
                </c:pt>
                <c:pt idx="3">
                  <c:v>1300</c:v>
                </c:pt>
                <c:pt idx="4">
                  <c:v>1400</c:v>
                </c:pt>
                <c:pt idx="5">
                  <c:v>1500</c:v>
                </c:pt>
                <c:pt idx="6">
                  <c:v>1600</c:v>
                </c:pt>
                <c:pt idx="7">
                  <c:v>1700</c:v>
                </c:pt>
                <c:pt idx="8">
                  <c:v>1800</c:v>
                </c:pt>
                <c:pt idx="9">
                  <c:v>2000</c:v>
                </c:pt>
              </c:numCache>
            </c:numRef>
          </c:xVal>
          <c:yVal>
            <c:numRef>
              <c:f>'MainEntry&amp;Data'!$E$52:$E$61</c:f>
              <c:numCache>
                <c:formatCode>0</c:formatCode>
                <c:ptCount val="10"/>
                <c:pt idx="0">
                  <c:v>30594.835044951629</c:v>
                </c:pt>
                <c:pt idx="1">
                  <c:v>34009.217565814979</c:v>
                </c:pt>
                <c:pt idx="2">
                  <c:v>37459.921956359787</c:v>
                </c:pt>
                <c:pt idx="3">
                  <c:v>40943.624979963875</c:v>
                </c:pt>
                <c:pt idx="4">
                  <c:v>44457.242257133104</c:v>
                </c:pt>
                <c:pt idx="5">
                  <c:v>47997.892475127897</c:v>
                </c:pt>
                <c:pt idx="6">
                  <c:v>51562.86705915795</c:v>
                </c:pt>
                <c:pt idx="7">
                  <c:v>55149.604760462207</c:v>
                </c:pt>
                <c:pt idx="8">
                  <c:v>58755.67045092459</c:v>
                </c:pt>
                <c:pt idx="9">
                  <c:v>66016.572640100538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'MainEntry&amp;Data'!$F$51</c:f>
              <c:strCache>
                <c:ptCount val="1"/>
                <c:pt idx="0">
                  <c:v>H2O, (g)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4"/>
            <c:spPr>
              <a:solidFill>
                <a:schemeClr val="accent3">
                  <a:lumMod val="50000"/>
                </a:schemeClr>
              </a:solidFill>
            </c:spPr>
          </c:marker>
          <c:trendline>
            <c:trendlineType val="poly"/>
            <c:order val="2"/>
            <c:dispRSqr val="0"/>
            <c:dispEq val="1"/>
            <c:trendlineLbl>
              <c:layout>
                <c:manualLayout>
                  <c:x val="-0.30869655375382288"/>
                  <c:y val="-0.1142401921220443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baseline="0"/>
                      <a:t>H, H2O = 4.204E-03T</a:t>
                    </a:r>
                    <a:r>
                      <a:rPr lang="en-US" baseline="30000"/>
                      <a:t>2</a:t>
                    </a:r>
                    <a:r>
                      <a:rPr lang="en-US" baseline="0"/>
                      <a:t> + 3.661E+01T - 3.124E+03</a:t>
                    </a:r>
                    <a:endParaRPr lang="en-US"/>
                  </a:p>
                </c:rich>
              </c:tx>
              <c:numFmt formatCode="0.000E+00" sourceLinked="0"/>
              <c:spPr>
                <a:solidFill>
                  <a:srgbClr val="69FFAD"/>
                </a:solidFill>
                <a:ln>
                  <a:solidFill>
                    <a:schemeClr val="tx1"/>
                  </a:solidFill>
                </a:ln>
              </c:spPr>
            </c:trendlineLbl>
          </c:trendline>
          <c:xVal>
            <c:numRef>
              <c:f>'MainEntry&amp;Data'!$C$52:$C$61</c:f>
              <c:numCache>
                <c:formatCode>General</c:formatCode>
                <c:ptCount val="10"/>
                <c:pt idx="0">
                  <c:v>1000.0000000000001</c:v>
                </c:pt>
                <c:pt idx="1">
                  <c:v>1100</c:v>
                </c:pt>
                <c:pt idx="2">
                  <c:v>1200</c:v>
                </c:pt>
                <c:pt idx="3">
                  <c:v>1300</c:v>
                </c:pt>
                <c:pt idx="4">
                  <c:v>1400</c:v>
                </c:pt>
                <c:pt idx="5">
                  <c:v>1500</c:v>
                </c:pt>
                <c:pt idx="6">
                  <c:v>1600</c:v>
                </c:pt>
                <c:pt idx="7">
                  <c:v>1700</c:v>
                </c:pt>
                <c:pt idx="8">
                  <c:v>1800</c:v>
                </c:pt>
                <c:pt idx="9">
                  <c:v>2000</c:v>
                </c:pt>
              </c:numCache>
            </c:numRef>
          </c:xVal>
          <c:yVal>
            <c:numRef>
              <c:f>'MainEntry&amp;Data'!$F$52:$F$61</c:f>
              <c:numCache>
                <c:formatCode>0</c:formatCode>
                <c:ptCount val="10"/>
                <c:pt idx="0">
                  <c:v>37719.486716218154</c:v>
                </c:pt>
                <c:pt idx="1">
                  <c:v>42222.376060866489</c:v>
                </c:pt>
                <c:pt idx="2">
                  <c:v>46831.416197665334</c:v>
                </c:pt>
                <c:pt idx="3">
                  <c:v>51541.45768615618</c:v>
                </c:pt>
                <c:pt idx="4">
                  <c:v>56347.137047937656</c:v>
                </c:pt>
                <c:pt idx="5">
                  <c:v>61242.922712545769</c:v>
                </c:pt>
                <c:pt idx="6">
                  <c:v>66223.148986471584</c:v>
                </c:pt>
                <c:pt idx="7">
                  <c:v>71282.04165838279</c:v>
                </c:pt>
                <c:pt idx="8">
                  <c:v>76413.737630966963</c:v>
                </c:pt>
                <c:pt idx="9">
                  <c:v>86871.731115340765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'MainEntry&amp;Data'!$G$51</c:f>
              <c:strCache>
                <c:ptCount val="1"/>
                <c:pt idx="0">
                  <c:v>CO2, (g)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noFill/>
              <a:ln>
                <a:solidFill>
                  <a:schemeClr val="tx1"/>
                </a:solidFill>
              </a:ln>
            </c:spPr>
          </c:marker>
          <c:trendline>
            <c:trendlineType val="poly"/>
            <c:order val="2"/>
            <c:dispRSqr val="0"/>
            <c:dispEq val="1"/>
            <c:trendlineLbl>
              <c:layout>
                <c:manualLayout>
                  <c:x val="-0.30846162824833068"/>
                  <c:y val="-3.8789683876548514E-3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baseline="0"/>
                      <a:t>H, CO2 = 2.006E-03T</a:t>
                    </a:r>
                    <a:r>
                      <a:rPr lang="en-US" baseline="30000"/>
                      <a:t>2</a:t>
                    </a:r>
                    <a:r>
                      <a:rPr lang="en-US" baseline="0"/>
                      <a:t> + 5.343E+01T - 6.847E+03</a:t>
                    </a:r>
                    <a:endParaRPr lang="en-US"/>
                  </a:p>
                </c:rich>
              </c:tx>
              <c:numFmt formatCode="0.000E+00" sourceLinked="0"/>
              <c:spPr>
                <a:solidFill>
                  <a:srgbClr val="69FFAD"/>
                </a:solidFill>
                <a:ln>
                  <a:solidFill>
                    <a:schemeClr val="tx1"/>
                  </a:solidFill>
                </a:ln>
              </c:spPr>
            </c:trendlineLbl>
          </c:trendline>
          <c:xVal>
            <c:numRef>
              <c:f>'MainEntry&amp;Data'!$C$52:$C$61</c:f>
              <c:numCache>
                <c:formatCode>General</c:formatCode>
                <c:ptCount val="10"/>
                <c:pt idx="0">
                  <c:v>1000.0000000000001</c:v>
                </c:pt>
                <c:pt idx="1">
                  <c:v>1100</c:v>
                </c:pt>
                <c:pt idx="2">
                  <c:v>1200</c:v>
                </c:pt>
                <c:pt idx="3">
                  <c:v>1300</c:v>
                </c:pt>
                <c:pt idx="4">
                  <c:v>1400</c:v>
                </c:pt>
                <c:pt idx="5">
                  <c:v>1500</c:v>
                </c:pt>
                <c:pt idx="6">
                  <c:v>1600</c:v>
                </c:pt>
                <c:pt idx="7">
                  <c:v>1700</c:v>
                </c:pt>
                <c:pt idx="8">
                  <c:v>1800</c:v>
                </c:pt>
                <c:pt idx="9">
                  <c:v>2000</c:v>
                </c:pt>
              </c:numCache>
            </c:numRef>
          </c:xVal>
          <c:yVal>
            <c:numRef>
              <c:f>'MainEntry&amp;Data'!$G$52:$G$61</c:f>
              <c:numCache>
                <c:formatCode>0</c:formatCode>
                <c:ptCount val="10"/>
                <c:pt idx="0">
                  <c:v>48623.532258746767</c:v>
                </c:pt>
                <c:pt idx="1">
                  <c:v>54346.857434752761</c:v>
                </c:pt>
                <c:pt idx="2">
                  <c:v>60135.747562997705</c:v>
                </c:pt>
                <c:pt idx="3">
                  <c:v>65981.661394819428</c:v>
                </c:pt>
                <c:pt idx="4">
                  <c:v>71877.429002522607</c:v>
                </c:pt>
                <c:pt idx="5">
                  <c:v>77816.989969930961</c:v>
                </c:pt>
                <c:pt idx="6">
                  <c:v>83795.19169515236</c:v>
                </c:pt>
                <c:pt idx="7">
                  <c:v>89807.631990912749</c:v>
                </c:pt>
                <c:pt idx="8">
                  <c:v>95850.534783406969</c:v>
                </c:pt>
                <c:pt idx="9">
                  <c:v>108015.17785892537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9674624"/>
        <c:axId val="149676800"/>
      </c:scatterChart>
      <c:valAx>
        <c:axId val="149674624"/>
        <c:scaling>
          <c:orientation val="minMax"/>
          <c:max val="2000"/>
          <c:min val="100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temperature, deg. C</a:t>
                </a:r>
              </a:p>
            </c:rich>
          </c:tx>
          <c:layout>
            <c:manualLayout>
              <c:xMode val="edge"/>
              <c:yMode val="edge"/>
              <c:x val="0.44940540112919997"/>
              <c:y val="0.92757894370477412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crossAx val="149676800"/>
        <c:crosses val="autoZero"/>
        <c:crossBetween val="midCat"/>
        <c:majorUnit val="200"/>
      </c:valAx>
      <c:valAx>
        <c:axId val="149676800"/>
        <c:scaling>
          <c:orientation val="minMax"/>
          <c:max val="110000"/>
          <c:min val="30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heat content, J/mol</a:t>
                </a:r>
              </a:p>
            </c:rich>
          </c:tx>
          <c:layout>
            <c:manualLayout>
              <c:xMode val="edge"/>
              <c:yMode val="edge"/>
              <c:x val="2.9992454767872596E-3"/>
              <c:y val="0.32379828510241521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14967462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legend>
      <c:legendPos val="r"/>
      <c:layout>
        <c:manualLayout>
          <c:xMode val="edge"/>
          <c:yMode val="edge"/>
          <c:x val="0.71986190253395854"/>
          <c:y val="0.67845356668638801"/>
          <c:w val="0.21759018664455848"/>
          <c:h val="0.15971292149247032"/>
        </c:manualLayout>
      </c:layout>
      <c:overlay val="1"/>
      <c:spPr>
        <a:solidFill>
          <a:schemeClr val="accent6">
            <a:lumMod val="20000"/>
            <a:lumOff val="80000"/>
          </a:schemeClr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rgbClr val="CCFFFF"/>
    </a:solidFill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Arial" pitchFamily="34" charset="0"/>
                <a:cs typeface="Arial" pitchFamily="34" charset="0"/>
              </a:defRPr>
            </a:pPr>
            <a:r>
              <a:rPr lang="en-US" sz="1200">
                <a:latin typeface="Arial" pitchFamily="34" charset="0"/>
                <a:cs typeface="Arial" pitchFamily="34" charset="0"/>
              </a:rPr>
              <a:t>AFT vs. % Excess Oxidant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11555683450481"/>
          <c:y val="0.10996536891221928"/>
          <c:w val="0.8453035267203054"/>
          <c:h val="0.75018439936762804"/>
        </c:manualLayout>
      </c:layout>
      <c:scatterChart>
        <c:scatterStyle val="smoothMarker"/>
        <c:varyColors val="0"/>
        <c:ser>
          <c:idx val="0"/>
          <c:order val="0"/>
          <c:tx>
            <c:v>AFT</c:v>
          </c:tx>
          <c:spPr>
            <a:ln w="12700">
              <a:noFill/>
            </a:ln>
          </c:spPr>
          <c:marker>
            <c:symbol val="diamond"/>
            <c:size val="4"/>
            <c:spPr>
              <a:noFill/>
              <a:ln>
                <a:solidFill>
                  <a:schemeClr val="tx1"/>
                </a:solidFill>
              </a:ln>
            </c:spPr>
          </c:marker>
          <c:trendline>
            <c:trendlineType val="log"/>
            <c:dispRSqr val="1"/>
            <c:dispEq val="1"/>
            <c:trendlineLbl>
              <c:layout/>
              <c:numFmt formatCode="General" sourceLinked="0"/>
            </c:trendlineLbl>
          </c:trendline>
          <c:trendline>
            <c:trendlineType val="power"/>
            <c:dispRSqr val="0"/>
            <c:dispEq val="0"/>
          </c:trendline>
          <c:trendline>
            <c:trendlineType val="poly"/>
            <c:order val="2"/>
            <c:dispRSqr val="0"/>
            <c:dispEq val="1"/>
            <c:trendlineLbl>
              <c:layout>
                <c:manualLayout>
                  <c:x val="6.7810802165579774E-3"/>
                  <c:y val="-0.27669348150343881"/>
                </c:manualLayout>
              </c:layout>
              <c:numFmt formatCode="0" sourceLinked="0"/>
              <c:spPr>
                <a:solidFill>
                  <a:srgbClr val="FFFF99"/>
                </a:solidFill>
                <a:ln>
                  <a:solidFill>
                    <a:schemeClr val="tx1"/>
                  </a:solidFill>
                </a:ln>
              </c:spPr>
            </c:trendlineLbl>
          </c:trendline>
          <c:xVal>
            <c:numRef>
              <c:f>'MainEntry&amp;Data'!$N$31:$T$31</c:f>
              <c:numCache>
                <c:formatCode>0.0%</c:formatCode>
                <c:ptCount val="7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0.4</c:v>
                </c:pt>
                <c:pt idx="4">
                  <c:v>0.6</c:v>
                </c:pt>
                <c:pt idx="5">
                  <c:v>0.8</c:v>
                </c:pt>
                <c:pt idx="6" formatCode="0%">
                  <c:v>1</c:v>
                </c:pt>
              </c:numCache>
            </c:numRef>
          </c:xVal>
          <c:yVal>
            <c:numRef>
              <c:f>'MainEntry&amp;Data'!$N$32:$T$32</c:f>
              <c:numCache>
                <c:formatCode>0</c:formatCode>
                <c:ptCount val="7"/>
                <c:pt idx="0">
                  <c:v>2050.745192074553</c:v>
                </c:pt>
                <c:pt idx="1">
                  <c:v>1914.4329120445632</c:v>
                </c:pt>
                <c:pt idx="2">
                  <c:v>1795.4797048391563</c:v>
                </c:pt>
                <c:pt idx="3">
                  <c:v>1598.0068876281978</c:v>
                </c:pt>
                <c:pt idx="4">
                  <c:v>1440.8455414683017</c:v>
                </c:pt>
                <c:pt idx="5">
                  <c:v>1312.8752381283284</c:v>
                </c:pt>
                <c:pt idx="6">
                  <c:v>1206.6994842299785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9843328"/>
        <c:axId val="149857792"/>
      </c:scatterChart>
      <c:valAx>
        <c:axId val="149843328"/>
        <c:scaling>
          <c:orientation val="minMax"/>
          <c:max val="1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050">
                    <a:latin typeface="Arial" pitchFamily="34" charset="0"/>
                    <a:cs typeface="Arial" pitchFamily="34" charset="0"/>
                  </a:defRPr>
                </a:pPr>
                <a:r>
                  <a:rPr lang="en-US" sz="1050">
                    <a:latin typeface="Arial" pitchFamily="34" charset="0"/>
                    <a:cs typeface="Arial" pitchFamily="34" charset="0"/>
                  </a:rPr>
                  <a:t>% excess oxidant</a:t>
                </a:r>
              </a:p>
            </c:rich>
          </c:tx>
          <c:layout/>
          <c:overlay val="0"/>
        </c:title>
        <c:numFmt formatCode="0%" sourceLinked="0"/>
        <c:majorTickMark val="out"/>
        <c:minorTickMark val="none"/>
        <c:tickLblPos val="low"/>
        <c:crossAx val="149857792"/>
        <c:crosses val="autoZero"/>
        <c:crossBetween val="midCat"/>
      </c:valAx>
      <c:valAx>
        <c:axId val="149857792"/>
        <c:scaling>
          <c:orientation val="minMax"/>
          <c:max val="2200"/>
          <c:min val="12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050">
                    <a:latin typeface="Arial" pitchFamily="34" charset="0"/>
                    <a:cs typeface="Arial" pitchFamily="34" charset="0"/>
                  </a:defRPr>
                </a:pPr>
                <a:r>
                  <a:rPr lang="en-US" sz="1050">
                    <a:latin typeface="Arial" pitchFamily="34" charset="0"/>
                    <a:cs typeface="Arial" pitchFamily="34" charset="0"/>
                  </a:rPr>
                  <a:t>AFT, deg. C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low"/>
        <c:crossAx val="149843328"/>
        <c:crosses val="autoZero"/>
        <c:crossBetween val="midCat"/>
      </c:valAx>
      <c:spPr>
        <a:solidFill>
          <a:schemeClr val="bg1">
            <a:lumMod val="95000"/>
          </a:schemeClr>
        </a:solidFill>
      </c:spPr>
    </c:plotArea>
    <c:plotVisOnly val="1"/>
    <c:dispBlanksAs val="gap"/>
    <c:showDLblsOverMax val="0"/>
  </c:chart>
  <c:spPr>
    <a:solidFill>
      <a:schemeClr val="accent6">
        <a:lumMod val="40000"/>
        <a:lumOff val="60000"/>
      </a:schemeClr>
    </a:solidFill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Arial" pitchFamily="34" charset="0"/>
                <a:cs typeface="Arial" pitchFamily="34" charset="0"/>
              </a:defRPr>
            </a:pPr>
            <a:r>
              <a:rPr lang="en-US" sz="1200">
                <a:latin typeface="Arial" pitchFamily="34" charset="0"/>
                <a:cs typeface="Arial" pitchFamily="34" charset="0"/>
              </a:rPr>
              <a:t>AFT vs. % Excess Oxidant for CH</a:t>
            </a:r>
            <a:r>
              <a:rPr lang="en-US" sz="1200" baseline="-25000">
                <a:latin typeface="Arial" pitchFamily="34" charset="0"/>
                <a:cs typeface="Arial" pitchFamily="34" charset="0"/>
              </a:rPr>
              <a:t>4</a:t>
            </a:r>
            <a:r>
              <a:rPr lang="en-US" sz="1200">
                <a:latin typeface="Arial" pitchFamily="34" charset="0"/>
                <a:cs typeface="Arial" pitchFamily="34" charset="0"/>
              </a:rPr>
              <a:t> Combustion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11555683450481"/>
          <c:y val="9.7084094565657003E-2"/>
          <c:w val="0.8453035267203054"/>
          <c:h val="0.77916710512803278"/>
        </c:manualLayout>
      </c:layout>
      <c:scatterChart>
        <c:scatterStyle val="smoothMarker"/>
        <c:varyColors val="0"/>
        <c:ser>
          <c:idx val="0"/>
          <c:order val="0"/>
          <c:tx>
            <c:v>CH4</c:v>
          </c:tx>
          <c:spPr>
            <a:ln w="12700">
              <a:noFill/>
            </a:ln>
          </c:spPr>
          <c:marker>
            <c:spPr>
              <a:noFill/>
              <a:ln>
                <a:solidFill>
                  <a:schemeClr val="tx1"/>
                </a:solidFill>
              </a:ln>
            </c:spPr>
          </c:marker>
          <c:trendline>
            <c:trendlineType val="poly"/>
            <c:order val="2"/>
            <c:dispRSqr val="0"/>
            <c:dispEq val="1"/>
            <c:trendlineLbl>
              <c:layout>
                <c:manualLayout>
                  <c:x val="-0.15784377610660022"/>
                  <c:y val="-0.31353812331773467"/>
                </c:manualLayout>
              </c:layout>
              <c:numFmt formatCode="0" sourceLinked="0"/>
              <c:spPr>
                <a:solidFill>
                  <a:srgbClr val="FFFF99"/>
                </a:solidFill>
                <a:ln>
                  <a:solidFill>
                    <a:schemeClr val="tx1"/>
                  </a:solidFill>
                </a:ln>
              </c:spPr>
            </c:trendlineLbl>
          </c:trendline>
          <c:xVal>
            <c:numRef>
              <c:f>StoredResults!$D$33:$J$33</c:f>
              <c:numCache>
                <c:formatCode>0.0%</c:formatCode>
                <c:ptCount val="7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0.4</c:v>
                </c:pt>
                <c:pt idx="4">
                  <c:v>0.6</c:v>
                </c:pt>
                <c:pt idx="5">
                  <c:v>0.8</c:v>
                </c:pt>
                <c:pt idx="6" formatCode="0%">
                  <c:v>1</c:v>
                </c:pt>
              </c:numCache>
            </c:numRef>
          </c:xVal>
          <c:yVal>
            <c:numRef>
              <c:f>StoredResults!$D$34:$J$34</c:f>
              <c:numCache>
                <c:formatCode>0</c:formatCode>
                <c:ptCount val="7"/>
                <c:pt idx="0">
                  <c:v>2060.7144071555913</c:v>
                </c:pt>
                <c:pt idx="1">
                  <c:v>1924.2928159536029</c:v>
                </c:pt>
                <c:pt idx="2">
                  <c:v>1805.2706825545101</c:v>
                </c:pt>
                <c:pt idx="3">
                  <c:v>1607.7387585288798</c:v>
                </c:pt>
                <c:pt idx="4">
                  <c:v>1450.5804713697175</c:v>
                </c:pt>
                <c:pt idx="5">
                  <c:v>1322.6459351763633</c:v>
                </c:pt>
                <c:pt idx="6">
                  <c:v>1216.5227748298828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0814720"/>
        <c:axId val="150816640"/>
      </c:scatterChart>
      <c:valAx>
        <c:axId val="150814720"/>
        <c:scaling>
          <c:orientation val="minMax"/>
          <c:max val="1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050">
                    <a:latin typeface="Arial" pitchFamily="34" charset="0"/>
                    <a:cs typeface="Arial" pitchFamily="34" charset="0"/>
                  </a:defRPr>
                </a:pPr>
                <a:r>
                  <a:rPr lang="en-US" sz="1050">
                    <a:latin typeface="Arial" pitchFamily="34" charset="0"/>
                    <a:cs typeface="Arial" pitchFamily="34" charset="0"/>
                  </a:rPr>
                  <a:t>% excess oxidant</a:t>
                </a:r>
              </a:p>
            </c:rich>
          </c:tx>
          <c:layout>
            <c:manualLayout>
              <c:xMode val="edge"/>
              <c:yMode val="edge"/>
              <c:x val="0.41257028181444444"/>
              <c:y val="0.93760350329575048"/>
            </c:manualLayout>
          </c:layout>
          <c:overlay val="0"/>
        </c:title>
        <c:numFmt formatCode="0%" sourceLinked="0"/>
        <c:majorTickMark val="out"/>
        <c:minorTickMark val="none"/>
        <c:tickLblPos val="low"/>
        <c:crossAx val="150816640"/>
        <c:crosses val="autoZero"/>
        <c:crossBetween val="midCat"/>
        <c:minorUnit val="2.0000000000000004E-2"/>
      </c:valAx>
      <c:valAx>
        <c:axId val="150816640"/>
        <c:scaling>
          <c:orientation val="minMax"/>
          <c:min val="12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050">
                    <a:latin typeface="Arial" pitchFamily="34" charset="0"/>
                    <a:cs typeface="Arial" pitchFamily="34" charset="0"/>
                  </a:defRPr>
                </a:pPr>
                <a:r>
                  <a:rPr lang="en-US" sz="1050">
                    <a:latin typeface="Arial" pitchFamily="34" charset="0"/>
                    <a:cs typeface="Arial" pitchFamily="34" charset="0"/>
                  </a:rPr>
                  <a:t>AFT, deg. C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low"/>
        <c:crossAx val="150814720"/>
        <c:crosses val="autoZero"/>
        <c:crossBetween val="midCat"/>
      </c:valAx>
      <c:spPr>
        <a:solidFill>
          <a:schemeClr val="bg1">
            <a:lumMod val="95000"/>
          </a:schemeClr>
        </a:solidFill>
      </c:spPr>
    </c:plotArea>
    <c:plotVisOnly val="1"/>
    <c:dispBlanksAs val="gap"/>
    <c:showDLblsOverMax val="0"/>
  </c:chart>
  <c:spPr>
    <a:solidFill>
      <a:schemeClr val="accent6">
        <a:lumMod val="40000"/>
        <a:lumOff val="60000"/>
      </a:schemeClr>
    </a:solidFill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Arial" pitchFamily="34" charset="0"/>
                <a:cs typeface="Arial" pitchFamily="34" charset="0"/>
              </a:defRPr>
            </a:pPr>
            <a:r>
              <a:rPr lang="en-US" sz="1200">
                <a:latin typeface="Arial" pitchFamily="34" charset="0"/>
                <a:cs typeface="Arial" pitchFamily="34" charset="0"/>
              </a:rPr>
              <a:t>AFT vs. % Excess Oxidant for Different Fuels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11555683450481"/>
          <c:y val="9.3987383098908375E-2"/>
          <c:w val="0.8453035267203054"/>
          <c:h val="0.79172752807928548"/>
        </c:manualLayout>
      </c:layout>
      <c:scatterChart>
        <c:scatterStyle val="smoothMarker"/>
        <c:varyColors val="0"/>
        <c:ser>
          <c:idx val="0"/>
          <c:order val="0"/>
          <c:tx>
            <c:v>CH4</c:v>
          </c:tx>
          <c:spPr>
            <a:ln w="12700">
              <a:solidFill>
                <a:schemeClr val="tx1"/>
              </a:solidFill>
            </a:ln>
          </c:spPr>
          <c:marker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StoredResults!$P$31:$V$31</c:f>
              <c:numCache>
                <c:formatCode>0.0%</c:formatCode>
                <c:ptCount val="7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0.4</c:v>
                </c:pt>
                <c:pt idx="4">
                  <c:v>0.6</c:v>
                </c:pt>
                <c:pt idx="5">
                  <c:v>0.8</c:v>
                </c:pt>
                <c:pt idx="6" formatCode="0%">
                  <c:v>1</c:v>
                </c:pt>
              </c:numCache>
            </c:numRef>
          </c:xVal>
          <c:yVal>
            <c:numRef>
              <c:f>StoredResults!$P$32:$V$32</c:f>
              <c:numCache>
                <c:formatCode>0</c:formatCode>
                <c:ptCount val="7"/>
                <c:pt idx="0">
                  <c:v>2053.032010919907</c:v>
                </c:pt>
                <c:pt idx="1">
                  <c:v>1916.3318036648543</c:v>
                </c:pt>
                <c:pt idx="2">
                  <c:v>1797.0659352410923</c:v>
                </c:pt>
                <c:pt idx="3">
                  <c:v>1599.1284731379637</c:v>
                </c:pt>
                <c:pt idx="4">
                  <c:v>1441.6469300676058</c:v>
                </c:pt>
                <c:pt idx="5">
                  <c:v>1313.4490710575444</c:v>
                </c:pt>
                <c:pt idx="6">
                  <c:v>1207.1074888657477</c:v>
                </c:pt>
              </c:numCache>
            </c:numRef>
          </c:yVal>
          <c:smooth val="1"/>
        </c:ser>
        <c:ser>
          <c:idx val="1"/>
          <c:order val="1"/>
          <c:tx>
            <c:v>C2H6</c:v>
          </c:tx>
          <c:spPr>
            <a:ln w="12700">
              <a:solidFill>
                <a:srgbClr val="FF0000"/>
              </a:solidFill>
            </a:ln>
          </c:spPr>
          <c:marker>
            <c:symbol val="square"/>
            <c:size val="4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StoredResults!$P$35:$V$35</c:f>
              <c:numCache>
                <c:formatCode>0.0%</c:formatCode>
                <c:ptCount val="7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0.4</c:v>
                </c:pt>
                <c:pt idx="4">
                  <c:v>0.6</c:v>
                </c:pt>
                <c:pt idx="5">
                  <c:v>0.8</c:v>
                </c:pt>
                <c:pt idx="6" formatCode="0%">
                  <c:v>1</c:v>
                </c:pt>
              </c:numCache>
            </c:numRef>
          </c:xVal>
          <c:yVal>
            <c:numRef>
              <c:f>StoredResults!$P$36:$V$36</c:f>
              <c:numCache>
                <c:formatCode>0</c:formatCode>
                <c:ptCount val="7"/>
                <c:pt idx="0">
                  <c:v>2105.8683991519979</c:v>
                </c:pt>
                <c:pt idx="1">
                  <c:v>1963.9349081084624</c:v>
                </c:pt>
                <c:pt idx="2">
                  <c:v>1840.3325737141213</c:v>
                </c:pt>
                <c:pt idx="3">
                  <c:v>1635.6515129391366</c:v>
                </c:pt>
                <c:pt idx="4">
                  <c:v>1473.1909109222447</c:v>
                </c:pt>
                <c:pt idx="5">
                  <c:v>1341.1801501300249</c:v>
                </c:pt>
                <c:pt idx="6">
                  <c:v>1231.8322538973755</c:v>
                </c:pt>
              </c:numCache>
            </c:numRef>
          </c:yVal>
          <c:smooth val="1"/>
        </c:ser>
        <c:ser>
          <c:idx val="2"/>
          <c:order val="2"/>
          <c:tx>
            <c:v>C3H8</c:v>
          </c:tx>
          <c:spPr>
            <a:ln w="12700">
              <a:solidFill>
                <a:srgbClr val="00B050"/>
              </a:solidFill>
            </a:ln>
          </c:spPr>
          <c:marker>
            <c:symbol val="triangle"/>
            <c:size val="4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StoredResults!$P$39:$V$39</c:f>
              <c:numCache>
                <c:formatCode>0.0%</c:formatCode>
                <c:ptCount val="7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0.4</c:v>
                </c:pt>
                <c:pt idx="4">
                  <c:v>0.6</c:v>
                </c:pt>
                <c:pt idx="5">
                  <c:v>0.8</c:v>
                </c:pt>
                <c:pt idx="6" formatCode="0%">
                  <c:v>1</c:v>
                </c:pt>
              </c:numCache>
            </c:numRef>
          </c:xVal>
          <c:yVal>
            <c:numRef>
              <c:f>StoredResults!$P$40:$V$40</c:f>
              <c:numCache>
                <c:formatCode>0</c:formatCode>
                <c:ptCount val="7"/>
                <c:pt idx="0">
                  <c:v>2118.9346926816074</c:v>
                </c:pt>
                <c:pt idx="1">
                  <c:v>1975.374825869377</c:v>
                </c:pt>
                <c:pt idx="2">
                  <c:v>1850.4594373367208</c:v>
                </c:pt>
                <c:pt idx="3">
                  <c:v>1643.8076815821157</c:v>
                </c:pt>
                <c:pt idx="4">
                  <c:v>1479.9561560356685</c:v>
                </c:pt>
                <c:pt idx="5">
                  <c:v>1346.9228688007227</c:v>
                </c:pt>
                <c:pt idx="6">
                  <c:v>1236.7981077599745</c:v>
                </c:pt>
              </c:numCache>
            </c:numRef>
          </c:yVal>
          <c:smooth val="1"/>
        </c:ser>
        <c:ser>
          <c:idx val="3"/>
          <c:order val="3"/>
          <c:tx>
            <c:v>C</c:v>
          </c:tx>
          <c:spPr>
            <a:ln w="12700">
              <a:solidFill>
                <a:schemeClr val="accent1">
                  <a:lumMod val="75000"/>
                </a:schemeClr>
              </a:solidFill>
            </a:ln>
          </c:spPr>
          <c:marker>
            <c:symbol val="circle"/>
            <c:size val="4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StoredResults!$P$43:$V$43</c:f>
              <c:numCache>
                <c:formatCode>0.0%</c:formatCode>
                <c:ptCount val="7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0.4</c:v>
                </c:pt>
                <c:pt idx="4">
                  <c:v>0.6</c:v>
                </c:pt>
                <c:pt idx="5">
                  <c:v>0.8</c:v>
                </c:pt>
                <c:pt idx="6" formatCode="0%">
                  <c:v>1</c:v>
                </c:pt>
              </c:numCache>
            </c:numRef>
          </c:xVal>
          <c:yVal>
            <c:numRef>
              <c:f>StoredResults!$P$44:$V$44</c:f>
              <c:numCache>
                <c:formatCode>0</c:formatCode>
                <c:ptCount val="7"/>
                <c:pt idx="0">
                  <c:v>2184.6397844213752</c:v>
                </c:pt>
                <c:pt idx="1">
                  <c:v>2024.1835348111895</c:v>
                </c:pt>
                <c:pt idx="2">
                  <c:v>1886.4883196730905</c:v>
                </c:pt>
                <c:pt idx="3">
                  <c:v>1662.3764482587108</c:v>
                </c:pt>
                <c:pt idx="4">
                  <c:v>1487.7256000467733</c:v>
                </c:pt>
                <c:pt idx="5">
                  <c:v>1347.7662762451221</c:v>
                </c:pt>
                <c:pt idx="6">
                  <c:v>1233.0835989660891</c:v>
                </c:pt>
              </c:numCache>
            </c:numRef>
          </c:yVal>
          <c:smooth val="1"/>
        </c:ser>
        <c:ser>
          <c:idx val="4"/>
          <c:order val="4"/>
          <c:tx>
            <c:v>H2</c:v>
          </c:tx>
          <c:spPr>
            <a:ln w="12700">
              <a:solidFill>
                <a:schemeClr val="accent6">
                  <a:lumMod val="50000"/>
                </a:schemeClr>
              </a:solidFill>
            </a:ln>
          </c:spPr>
          <c:marker>
            <c:symbol val="dash"/>
            <c:size val="5"/>
            <c:spPr>
              <a:ln w="15875">
                <a:solidFill>
                  <a:schemeClr val="tx1"/>
                </a:solidFill>
              </a:ln>
            </c:spPr>
          </c:marker>
          <c:xVal>
            <c:numRef>
              <c:f>StoredResults!$P$47:$V$47</c:f>
              <c:numCache>
                <c:formatCode>0.0%</c:formatCode>
                <c:ptCount val="7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0.4</c:v>
                </c:pt>
                <c:pt idx="4">
                  <c:v>0.6</c:v>
                </c:pt>
                <c:pt idx="5">
                  <c:v>0.8</c:v>
                </c:pt>
                <c:pt idx="6" formatCode="0%">
                  <c:v>1</c:v>
                </c:pt>
              </c:numCache>
            </c:numRef>
          </c:xVal>
          <c:yVal>
            <c:numRef>
              <c:f>StoredResults!$P$48:$V$48</c:f>
              <c:numCache>
                <c:formatCode>0</c:formatCode>
                <c:ptCount val="7"/>
                <c:pt idx="0">
                  <c:v>2247.3943425511734</c:v>
                </c:pt>
                <c:pt idx="1">
                  <c:v>2112.0137589724445</c:v>
                </c:pt>
                <c:pt idx="2">
                  <c:v>1992.0516308394258</c:v>
                </c:pt>
                <c:pt idx="3">
                  <c:v>1789.1430389602851</c:v>
                </c:pt>
                <c:pt idx="4">
                  <c:v>1624.3042053534466</c:v>
                </c:pt>
                <c:pt idx="5">
                  <c:v>1487.900938224594</c:v>
                </c:pt>
                <c:pt idx="6">
                  <c:v>1373.2553647443808</c:v>
                </c:pt>
              </c:numCache>
            </c:numRef>
          </c:yVal>
          <c:smooth val="1"/>
        </c:ser>
        <c:ser>
          <c:idx val="5"/>
          <c:order val="5"/>
          <c:tx>
            <c:v>CO</c:v>
          </c:tx>
          <c:spPr>
            <a:ln w="12700">
              <a:solidFill>
                <a:schemeClr val="tx1"/>
              </a:solidFill>
              <a:prstDash val="dash"/>
            </a:ln>
          </c:spPr>
          <c:marker>
            <c:symbol val="x"/>
            <c:size val="5"/>
            <c:spPr>
              <a:ln w="12700">
                <a:solidFill>
                  <a:schemeClr val="tx1"/>
                </a:solidFill>
              </a:ln>
            </c:spPr>
          </c:marker>
          <c:xVal>
            <c:numRef>
              <c:f>StoredResults!$P$51:$V$51</c:f>
              <c:numCache>
                <c:formatCode>0.0%</c:formatCode>
                <c:ptCount val="7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0.4</c:v>
                </c:pt>
                <c:pt idx="4">
                  <c:v>0.6</c:v>
                </c:pt>
                <c:pt idx="5">
                  <c:v>0.8</c:v>
                </c:pt>
                <c:pt idx="6" formatCode="0%">
                  <c:v>1</c:v>
                </c:pt>
              </c:numCache>
            </c:numRef>
          </c:xVal>
          <c:yVal>
            <c:numRef>
              <c:f>StoredResults!$P$52:$V$52</c:f>
              <c:numCache>
                <c:formatCode>0</c:formatCode>
                <c:ptCount val="7"/>
                <c:pt idx="0">
                  <c:v>2384.0198056169597</c:v>
                </c:pt>
                <c:pt idx="1">
                  <c:v>2248.0761370086116</c:v>
                </c:pt>
                <c:pt idx="2">
                  <c:v>2127.3186258485357</c:v>
                </c:pt>
                <c:pt idx="3">
                  <c:v>1922.176545225162</c:v>
                </c:pt>
                <c:pt idx="4">
                  <c:v>1754.4389971594519</c:v>
                </c:pt>
                <c:pt idx="5">
                  <c:v>1614.7083994468369</c:v>
                </c:pt>
                <c:pt idx="6">
                  <c:v>1496.4974895450996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0858752"/>
        <c:axId val="150668800"/>
      </c:scatterChart>
      <c:valAx>
        <c:axId val="150858752"/>
        <c:scaling>
          <c:orientation val="minMax"/>
          <c:max val="1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050">
                    <a:latin typeface="Arial" pitchFamily="34" charset="0"/>
                    <a:cs typeface="Arial" pitchFamily="34" charset="0"/>
                  </a:defRPr>
                </a:pPr>
                <a:r>
                  <a:rPr lang="en-US" sz="1050">
                    <a:latin typeface="Arial" pitchFamily="34" charset="0"/>
                    <a:cs typeface="Arial" pitchFamily="34" charset="0"/>
                  </a:rPr>
                  <a:t>% excess oxidant</a:t>
                </a:r>
              </a:p>
            </c:rich>
          </c:tx>
          <c:layout/>
          <c:overlay val="0"/>
        </c:title>
        <c:numFmt formatCode="0%" sourceLinked="0"/>
        <c:majorTickMark val="out"/>
        <c:minorTickMark val="none"/>
        <c:tickLblPos val="low"/>
        <c:crossAx val="150668800"/>
        <c:crosses val="autoZero"/>
        <c:crossBetween val="midCat"/>
        <c:minorUnit val="2.0000000000000004E-2"/>
      </c:valAx>
      <c:valAx>
        <c:axId val="150668800"/>
        <c:scaling>
          <c:orientation val="minMax"/>
          <c:max val="2400"/>
          <c:min val="12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050">
                    <a:latin typeface="Arial" pitchFamily="34" charset="0"/>
                    <a:cs typeface="Arial" pitchFamily="34" charset="0"/>
                  </a:defRPr>
                </a:pPr>
                <a:r>
                  <a:rPr lang="en-US" sz="1050">
                    <a:latin typeface="Arial" pitchFamily="34" charset="0"/>
                    <a:cs typeface="Arial" pitchFamily="34" charset="0"/>
                  </a:rPr>
                  <a:t>AFT, deg. C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low"/>
        <c:crossAx val="150858752"/>
        <c:crosses val="autoZero"/>
        <c:crossBetween val="midCat"/>
      </c:valAx>
      <c:spPr>
        <a:solidFill>
          <a:schemeClr val="bg1">
            <a:lumMod val="95000"/>
          </a:schemeClr>
        </a:solidFill>
      </c:spPr>
    </c:plotArea>
    <c:legend>
      <c:legendPos val="r"/>
      <c:layout>
        <c:manualLayout>
          <c:xMode val="edge"/>
          <c:yMode val="edge"/>
          <c:x val="0.72442049273626674"/>
          <c:y val="0.13347439341773285"/>
          <c:w val="0.17685862997747684"/>
          <c:h val="0.22821362726973754"/>
        </c:manualLayout>
      </c:layout>
      <c:overlay val="0"/>
      <c:spPr>
        <a:solidFill>
          <a:srgbClr val="FFFF99"/>
        </a:solidFill>
        <a:ln>
          <a:solidFill>
            <a:schemeClr val="accent1">
              <a:lumMod val="75000"/>
            </a:schemeClr>
          </a:solidFill>
        </a:ln>
      </c:spPr>
    </c:legend>
    <c:plotVisOnly val="1"/>
    <c:dispBlanksAs val="gap"/>
    <c:showDLblsOverMax val="0"/>
  </c:chart>
  <c:spPr>
    <a:solidFill>
      <a:schemeClr val="accent6">
        <a:lumMod val="40000"/>
        <a:lumOff val="60000"/>
      </a:schemeClr>
    </a:solidFill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Arial" pitchFamily="34" charset="0"/>
                <a:cs typeface="Arial" pitchFamily="34" charset="0"/>
              </a:defRPr>
            </a:pPr>
            <a:r>
              <a:rPr lang="en-US" sz="1200">
                <a:latin typeface="Arial" pitchFamily="34" charset="0"/>
                <a:cs typeface="Arial" pitchFamily="34" charset="0"/>
              </a:rPr>
              <a:t>Theoretical vs. Equilibrium AFT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345835656553294"/>
          <c:y val="9.3987462206773911E-2"/>
          <c:w val="0.8453035267203054"/>
          <c:h val="0.79172752807928548"/>
        </c:manualLayout>
      </c:layout>
      <c:scatterChart>
        <c:scatterStyle val="smoothMarker"/>
        <c:varyColors val="0"/>
        <c:ser>
          <c:idx val="3"/>
          <c:order val="0"/>
          <c:tx>
            <c:v>TheorC</c:v>
          </c:tx>
          <c:spPr>
            <a:ln w="12700">
              <a:solidFill>
                <a:schemeClr val="accent1">
                  <a:lumMod val="75000"/>
                </a:schemeClr>
              </a:solidFill>
            </a:ln>
          </c:spPr>
          <c:marker>
            <c:symbol val="circle"/>
            <c:size val="4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StoredResults!$P$43:$V$43</c:f>
              <c:numCache>
                <c:formatCode>0.0%</c:formatCode>
                <c:ptCount val="7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0.4</c:v>
                </c:pt>
                <c:pt idx="4">
                  <c:v>0.6</c:v>
                </c:pt>
                <c:pt idx="5">
                  <c:v>0.8</c:v>
                </c:pt>
                <c:pt idx="6" formatCode="0%">
                  <c:v>1</c:v>
                </c:pt>
              </c:numCache>
            </c:numRef>
          </c:xVal>
          <c:yVal>
            <c:numRef>
              <c:f>StoredResults!$P$44:$V$44</c:f>
              <c:numCache>
                <c:formatCode>0</c:formatCode>
                <c:ptCount val="7"/>
                <c:pt idx="0">
                  <c:v>2184.6397844213752</c:v>
                </c:pt>
                <c:pt idx="1">
                  <c:v>2024.1835348111895</c:v>
                </c:pt>
                <c:pt idx="2">
                  <c:v>1886.4883196730905</c:v>
                </c:pt>
                <c:pt idx="3">
                  <c:v>1662.3764482587108</c:v>
                </c:pt>
                <c:pt idx="4">
                  <c:v>1487.7256000467733</c:v>
                </c:pt>
                <c:pt idx="5">
                  <c:v>1347.7662762451221</c:v>
                </c:pt>
                <c:pt idx="6">
                  <c:v>1233.0835989660891</c:v>
                </c:pt>
              </c:numCache>
            </c:numRef>
          </c:yVal>
          <c:smooth val="1"/>
        </c:ser>
        <c:ser>
          <c:idx val="0"/>
          <c:order val="1"/>
          <c:tx>
            <c:v>TheorCH4</c:v>
          </c:tx>
          <c:spPr>
            <a:ln w="12700">
              <a:solidFill>
                <a:schemeClr val="tx1"/>
              </a:solidFill>
            </a:ln>
          </c:spPr>
          <c:marker>
            <c:symbol val="diamond"/>
            <c:size val="5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StoredResults!$P$31:$V$31</c:f>
              <c:numCache>
                <c:formatCode>0.0%</c:formatCode>
                <c:ptCount val="7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0.4</c:v>
                </c:pt>
                <c:pt idx="4">
                  <c:v>0.6</c:v>
                </c:pt>
                <c:pt idx="5">
                  <c:v>0.8</c:v>
                </c:pt>
                <c:pt idx="6" formatCode="0%">
                  <c:v>1</c:v>
                </c:pt>
              </c:numCache>
            </c:numRef>
          </c:xVal>
          <c:yVal>
            <c:numRef>
              <c:f>StoredResults!$P$32:$V$32</c:f>
              <c:numCache>
                <c:formatCode>0</c:formatCode>
                <c:ptCount val="7"/>
                <c:pt idx="0">
                  <c:v>2053.032010919907</c:v>
                </c:pt>
                <c:pt idx="1">
                  <c:v>1916.3318036648543</c:v>
                </c:pt>
                <c:pt idx="2">
                  <c:v>1797.0659352410923</c:v>
                </c:pt>
                <c:pt idx="3">
                  <c:v>1599.1284731379637</c:v>
                </c:pt>
                <c:pt idx="4">
                  <c:v>1441.6469300676058</c:v>
                </c:pt>
                <c:pt idx="5">
                  <c:v>1313.4490710575444</c:v>
                </c:pt>
                <c:pt idx="6">
                  <c:v>1207.1074888657477</c:v>
                </c:pt>
              </c:numCache>
            </c:numRef>
          </c:yVal>
          <c:smooth val="1"/>
        </c:ser>
        <c:ser>
          <c:idx val="1"/>
          <c:order val="2"/>
          <c:tx>
            <c:v>EquilCH4</c:v>
          </c:tx>
          <c:spPr>
            <a:ln w="12700">
              <a:solidFill>
                <a:schemeClr val="tx1"/>
              </a:solidFill>
              <a:prstDash val="sysDash"/>
            </a:ln>
          </c:spPr>
          <c:marker>
            <c:symbol val="none"/>
          </c:marker>
          <c:xVal>
            <c:numRef>
              <c:f>StoredResults!$D$67:$M$67</c:f>
              <c:numCache>
                <c:formatCode>0.0%</c:formatCode>
                <c:ptCount val="10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</c:numCache>
            </c:numRef>
          </c:xVal>
          <c:yVal>
            <c:numRef>
              <c:f>StoredResults!$D$68:$M$68</c:f>
              <c:numCache>
                <c:formatCode>0</c:formatCode>
                <c:ptCount val="10"/>
                <c:pt idx="0">
                  <c:v>1954.1046142578125</c:v>
                </c:pt>
                <c:pt idx="1">
                  <c:v>1872.3968505859375</c:v>
                </c:pt>
                <c:pt idx="2">
                  <c:v>1772.0916748046875</c:v>
                </c:pt>
                <c:pt idx="3">
                  <c:v>1676.0162353515625</c:v>
                </c:pt>
                <c:pt idx="4">
                  <c:v>1588.0645751953125</c:v>
                </c:pt>
                <c:pt idx="5">
                  <c:v>1508.3038330078125</c:v>
                </c:pt>
                <c:pt idx="6">
                  <c:v>1435.9954833984375</c:v>
                </c:pt>
                <c:pt idx="7">
                  <c:v>1370.3338623046875</c:v>
                </c:pt>
                <c:pt idx="8">
                  <c:v>1310.4461669921875</c:v>
                </c:pt>
                <c:pt idx="9">
                  <c:v>1255.7281494140625</c:v>
                </c:pt>
              </c:numCache>
            </c:numRef>
          </c:yVal>
          <c:smooth val="1"/>
        </c:ser>
        <c:ser>
          <c:idx val="2"/>
          <c:order val="3"/>
          <c:tx>
            <c:v>EquilC</c:v>
          </c:tx>
          <c:spPr>
            <a:ln w="12700">
              <a:solidFill>
                <a:schemeClr val="accent1">
                  <a:lumMod val="75000"/>
                </a:schemeClr>
              </a:solidFill>
              <a:prstDash val="sysDash"/>
            </a:ln>
          </c:spPr>
          <c:marker>
            <c:symbol val="none"/>
          </c:marker>
          <c:xVal>
            <c:numRef>
              <c:f>StoredResults!$D$82:$M$82</c:f>
              <c:numCache>
                <c:formatCode>0%</c:formatCode>
                <c:ptCount val="10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</c:numCache>
            </c:numRef>
          </c:xVal>
          <c:yVal>
            <c:numRef>
              <c:f>StoredResults!$D$83:$M$83</c:f>
              <c:numCache>
                <c:formatCode>0</c:formatCode>
                <c:ptCount val="10"/>
                <c:pt idx="0">
                  <c:v>2026.873779296875</c:v>
                </c:pt>
                <c:pt idx="1">
                  <c:v>1952.044677734375</c:v>
                </c:pt>
                <c:pt idx="2">
                  <c:v>1852.069091796875</c:v>
                </c:pt>
                <c:pt idx="3">
                  <c:v>1748.309326171875</c:v>
                </c:pt>
                <c:pt idx="4">
                  <c:v>1650.653076171875</c:v>
                </c:pt>
                <c:pt idx="5">
                  <c:v>1561.785888671875</c:v>
                </c:pt>
                <c:pt idx="6">
                  <c:v>1481.768798828125</c:v>
                </c:pt>
                <c:pt idx="7">
                  <c:v>1409.625244140625</c:v>
                </c:pt>
                <c:pt idx="8">
                  <c:v>1344.378662109375</c:v>
                </c:pt>
                <c:pt idx="9">
                  <c:v>1285.113525390625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0733568"/>
        <c:axId val="150735488"/>
      </c:scatterChart>
      <c:valAx>
        <c:axId val="150733568"/>
        <c:scaling>
          <c:orientation val="minMax"/>
          <c:max val="1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050">
                    <a:latin typeface="Arial" pitchFamily="34" charset="0"/>
                    <a:cs typeface="Arial" pitchFamily="34" charset="0"/>
                  </a:defRPr>
                </a:pPr>
                <a:r>
                  <a:rPr lang="en-US" sz="1050">
                    <a:latin typeface="Arial" pitchFamily="34" charset="0"/>
                    <a:cs typeface="Arial" pitchFamily="34" charset="0"/>
                  </a:rPr>
                  <a:t>% excess oxidant</a:t>
                </a:r>
              </a:p>
            </c:rich>
          </c:tx>
          <c:layout/>
          <c:overlay val="0"/>
        </c:title>
        <c:numFmt formatCode="0%" sourceLinked="0"/>
        <c:majorTickMark val="out"/>
        <c:minorTickMark val="none"/>
        <c:tickLblPos val="low"/>
        <c:crossAx val="150735488"/>
        <c:crosses val="autoZero"/>
        <c:crossBetween val="midCat"/>
        <c:minorUnit val="2.0000000000000004E-2"/>
      </c:valAx>
      <c:valAx>
        <c:axId val="150735488"/>
        <c:scaling>
          <c:orientation val="minMax"/>
          <c:max val="2200"/>
          <c:min val="12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050">
                    <a:latin typeface="Arial" pitchFamily="34" charset="0"/>
                    <a:cs typeface="Arial" pitchFamily="34" charset="0"/>
                  </a:defRPr>
                </a:pPr>
                <a:r>
                  <a:rPr lang="en-US" sz="1050">
                    <a:latin typeface="Arial" pitchFamily="34" charset="0"/>
                    <a:cs typeface="Arial" pitchFamily="34" charset="0"/>
                  </a:rPr>
                  <a:t>AFT, deg. C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low"/>
        <c:crossAx val="150733568"/>
        <c:crosses val="autoZero"/>
        <c:crossBetween val="midCat"/>
      </c:valAx>
      <c:spPr>
        <a:solidFill>
          <a:schemeClr val="bg1">
            <a:lumMod val="95000"/>
          </a:schemeClr>
        </a:solidFill>
      </c:spPr>
    </c:plotArea>
    <c:legend>
      <c:legendPos val="r"/>
      <c:layout>
        <c:manualLayout>
          <c:xMode val="edge"/>
          <c:yMode val="edge"/>
          <c:x val="0.72442049273626674"/>
          <c:y val="0.13347439341773285"/>
          <c:w val="0.17960897374874774"/>
          <c:h val="0.18414980124920549"/>
        </c:manualLayout>
      </c:layout>
      <c:overlay val="0"/>
      <c:spPr>
        <a:solidFill>
          <a:srgbClr val="FFFF99"/>
        </a:solidFill>
        <a:ln>
          <a:solidFill>
            <a:schemeClr val="accent1">
              <a:lumMod val="75000"/>
            </a:schemeClr>
          </a:solidFill>
        </a:ln>
      </c:spPr>
    </c:legend>
    <c:plotVisOnly val="1"/>
    <c:dispBlanksAs val="gap"/>
    <c:showDLblsOverMax val="0"/>
  </c:chart>
  <c:spPr>
    <a:solidFill>
      <a:schemeClr val="accent6">
        <a:lumMod val="40000"/>
        <a:lumOff val="60000"/>
      </a:schemeClr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380008</xdr:colOff>
      <xdr:row>6</xdr:row>
      <xdr:rowOff>80919</xdr:rowOff>
    </xdr:from>
    <xdr:to>
      <xdr:col>12</xdr:col>
      <xdr:colOff>480923</xdr:colOff>
      <xdr:row>8</xdr:row>
      <xdr:rowOff>19960</xdr:rowOff>
    </xdr:to>
    <xdr:sp macro="" textlink="">
      <xdr:nvSpPr>
        <xdr:cNvPr id="39" name="Text Box 3"/>
        <xdr:cNvSpPr txBox="1">
          <a:spLocks noChangeArrowheads="1"/>
        </xdr:cNvSpPr>
      </xdr:nvSpPr>
      <xdr:spPr bwMode="auto">
        <a:xfrm>
          <a:off x="2829294" y="1287419"/>
          <a:ext cx="4935987" cy="265611"/>
        </a:xfrm>
        <a:prstGeom prst="rect">
          <a:avLst/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  <a:effectLst>
          <a:innerShdw blurRad="114300">
            <a:prstClr val="black"/>
          </a:innerShdw>
        </a:effectLst>
      </xdr:spPr>
      <xdr:txBody>
        <a:bodyPr vertOverflow="clip" wrap="square" lIns="18288" tIns="22860" rIns="18288" bIns="0" anchor="t"/>
        <a:lstStyle/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+mn-lt"/>
              <a:cs typeface="Arial" pitchFamily="34" charset="0"/>
            </a:rPr>
            <a:t>Calculations based on combustion of </a:t>
          </a:r>
          <a:r>
            <a:rPr lang="en-US" sz="1400" b="1" i="0" u="none" strike="noStrike" baseline="0">
              <a:solidFill>
                <a:srgbClr val="000000"/>
              </a:solidFill>
              <a:latin typeface="+mn-lt"/>
              <a:cs typeface="Arial" pitchFamily="34" charset="0"/>
            </a:rPr>
            <a:t>1 gram-mole </a:t>
          </a:r>
          <a:r>
            <a:rPr lang="en-US" sz="1400" b="0" i="0" u="none" strike="noStrike" baseline="0">
              <a:solidFill>
                <a:srgbClr val="000000"/>
              </a:solidFill>
              <a:latin typeface="+mn-lt"/>
              <a:cs typeface="Arial" pitchFamily="34" charset="0"/>
            </a:rPr>
            <a:t>of fuel</a:t>
          </a:r>
        </a:p>
      </xdr:txBody>
    </xdr:sp>
    <xdr:clientData/>
  </xdr:twoCellAnchor>
  <xdr:oneCellAnchor>
    <xdr:from>
      <xdr:col>14</xdr:col>
      <xdr:colOff>187663</xdr:colOff>
      <xdr:row>0</xdr:row>
      <xdr:rowOff>373253</xdr:rowOff>
    </xdr:from>
    <xdr:ext cx="2243480" cy="800476"/>
    <xdr:sp macro="" textlink="">
      <xdr:nvSpPr>
        <xdr:cNvPr id="36" name="TextBox 35"/>
        <xdr:cNvSpPr txBox="1"/>
      </xdr:nvSpPr>
      <xdr:spPr>
        <a:xfrm>
          <a:off x="8596877" y="373253"/>
          <a:ext cx="2243480" cy="800476"/>
        </a:xfrm>
        <a:prstGeom prst="rect">
          <a:avLst/>
        </a:prstGeom>
        <a:solidFill>
          <a:schemeClr val="accent6">
            <a:lumMod val="50000"/>
          </a:schemeClr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45720" rIns="45720" rtlCol="0" anchor="ctr">
          <a:spAutoFit/>
        </a:bodyPr>
        <a:lstStyle/>
        <a:p>
          <a:pPr algn="ctr"/>
          <a:r>
            <a:rPr lang="en-US" sz="1200" b="1">
              <a:solidFill>
                <a:schemeClr val="bg1"/>
              </a:solidFill>
              <a:latin typeface="Arial" pitchFamily="34" charset="0"/>
              <a:cs typeface="Arial" pitchFamily="34" charset="0"/>
            </a:rPr>
            <a:t>AFT-Calc is a Thermart Software program.   © 2013 by Arthur E. Morris. www.thermart.net</a:t>
          </a:r>
        </a:p>
      </xdr:txBody>
    </xdr:sp>
    <xdr:clientData/>
  </xdr:oneCellAnchor>
  <xdr:oneCellAnchor>
    <xdr:from>
      <xdr:col>0</xdr:col>
      <xdr:colOff>196851</xdr:colOff>
      <xdr:row>0</xdr:row>
      <xdr:rowOff>210318</xdr:rowOff>
    </xdr:from>
    <xdr:ext cx="1200149" cy="918265"/>
    <xdr:sp macro="" textlink="">
      <xdr:nvSpPr>
        <xdr:cNvPr id="43" name="TextBox 42"/>
        <xdr:cNvSpPr txBox="1"/>
      </xdr:nvSpPr>
      <xdr:spPr>
        <a:xfrm>
          <a:off x="196851" y="210318"/>
          <a:ext cx="1200149" cy="918265"/>
        </a:xfrm>
        <a:prstGeom prst="rect">
          <a:avLst/>
        </a:prstGeom>
        <a:solidFill>
          <a:srgbClr val="FFFFCC"/>
        </a:solidFill>
        <a:ln w="9525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1200" u="sng">
              <a:latin typeface="Arial" pitchFamily="34" charset="0"/>
              <a:cs typeface="Arial" pitchFamily="34" charset="0"/>
            </a:rPr>
            <a:t>SI Units</a:t>
          </a:r>
        </a:p>
        <a:p>
          <a:pPr algn="l"/>
          <a:r>
            <a:rPr lang="en-US" sz="1100" baseline="0">
              <a:latin typeface="Arial" pitchFamily="34" charset="0"/>
              <a:cs typeface="Arial" pitchFamily="34" charset="0"/>
            </a:rPr>
            <a:t>temperature: °C</a:t>
          </a:r>
        </a:p>
        <a:p>
          <a:pPr algn="l"/>
          <a:r>
            <a:rPr lang="en-US" sz="1100" baseline="0">
              <a:latin typeface="Arial" pitchFamily="34" charset="0"/>
              <a:cs typeface="Arial" pitchFamily="34" charset="0"/>
            </a:rPr>
            <a:t>amount:  g-mol</a:t>
          </a:r>
        </a:p>
        <a:p>
          <a:pPr algn="l"/>
          <a:r>
            <a:rPr lang="en-US" sz="1100" baseline="0">
              <a:latin typeface="Arial" pitchFamily="34" charset="0"/>
              <a:cs typeface="Arial" pitchFamily="34" charset="0"/>
            </a:rPr>
            <a:t>mass:     g</a:t>
          </a:r>
        </a:p>
        <a:p>
          <a:pPr algn="l"/>
          <a:r>
            <a:rPr lang="en-US" sz="1100" baseline="0">
              <a:latin typeface="Arial" pitchFamily="34" charset="0"/>
              <a:cs typeface="Arial" pitchFamily="34" charset="0"/>
            </a:rPr>
            <a:t>energy:   J</a:t>
          </a:r>
        </a:p>
      </xdr:txBody>
    </xdr:sp>
    <xdr:clientData/>
  </xdr:oneCellAnchor>
  <xdr:twoCellAnchor>
    <xdr:from>
      <xdr:col>3</xdr:col>
      <xdr:colOff>25978</xdr:colOff>
      <xdr:row>37</xdr:row>
      <xdr:rowOff>8659</xdr:rowOff>
    </xdr:from>
    <xdr:to>
      <xdr:col>3</xdr:col>
      <xdr:colOff>200026</xdr:colOff>
      <xdr:row>43</xdr:row>
      <xdr:rowOff>171451</xdr:rowOff>
    </xdr:to>
    <xdr:sp macro="" textlink="">
      <xdr:nvSpPr>
        <xdr:cNvPr id="4" name="Left Brace 3"/>
        <xdr:cNvSpPr/>
      </xdr:nvSpPr>
      <xdr:spPr>
        <a:xfrm>
          <a:off x="1679864" y="6451023"/>
          <a:ext cx="174048" cy="1357746"/>
        </a:xfrm>
        <a:prstGeom prst="leftBrace">
          <a:avLst>
            <a:gd name="adj1" fmla="val 20459"/>
            <a:gd name="adj2" fmla="val 50553"/>
          </a:avLst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0</xdr:colOff>
      <xdr:row>45</xdr:row>
      <xdr:rowOff>2885</xdr:rowOff>
    </xdr:from>
    <xdr:to>
      <xdr:col>3</xdr:col>
      <xdr:colOff>154215</xdr:colOff>
      <xdr:row>47</xdr:row>
      <xdr:rowOff>190500</xdr:rowOff>
    </xdr:to>
    <xdr:sp macro="" textlink="">
      <xdr:nvSpPr>
        <xdr:cNvPr id="26" name="Left Brace 25"/>
        <xdr:cNvSpPr/>
      </xdr:nvSpPr>
      <xdr:spPr>
        <a:xfrm>
          <a:off x="1805214" y="8747742"/>
          <a:ext cx="154215" cy="586758"/>
        </a:xfrm>
        <a:prstGeom prst="leftBrace">
          <a:avLst>
            <a:gd name="adj1" fmla="val 20459"/>
            <a:gd name="adj2" fmla="val 48652"/>
          </a:avLst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11</xdr:col>
      <xdr:colOff>413050</xdr:colOff>
      <xdr:row>33</xdr:row>
      <xdr:rowOff>88295</xdr:rowOff>
    </xdr:from>
    <xdr:ext cx="6224818" cy="3399971"/>
    <xdr:sp macro="" textlink="">
      <xdr:nvSpPr>
        <xdr:cNvPr id="27" name="TextBox 26"/>
        <xdr:cNvSpPr txBox="1"/>
      </xdr:nvSpPr>
      <xdr:spPr>
        <a:xfrm>
          <a:off x="6915450" y="6666895"/>
          <a:ext cx="6224818" cy="3399971"/>
        </a:xfrm>
        <a:prstGeom prst="rect">
          <a:avLst/>
        </a:prstGeom>
        <a:solidFill>
          <a:srgbClr val="D3CDB1"/>
        </a:solidFill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n-US" sz="1400" u="sng" smtClean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AFT-Calc</a:t>
          </a:r>
          <a:r>
            <a:rPr lang="en-US" sz="1400" u="sng" baseline="0" smtClean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en-US" sz="1400" u="sng" smtClean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Operation</a:t>
          </a:r>
        </a:p>
        <a:p>
          <a:pPr algn="ctr"/>
          <a:endParaRPr lang="en-US" sz="800" u="none" smtClean="0">
            <a:solidFill>
              <a:srgbClr val="96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algn="ctr"/>
          <a:r>
            <a:rPr lang="en-US" sz="1200" u="none" smtClean="0">
              <a:solidFill>
                <a:srgbClr val="960000"/>
              </a:solidFill>
              <a:latin typeface="Arial" pitchFamily="34" charset="0"/>
              <a:ea typeface="+mn-ea"/>
              <a:cs typeface="Arial" pitchFamily="34" charset="0"/>
            </a:rPr>
            <a:t>The Calculator has</a:t>
          </a:r>
          <a:r>
            <a:rPr lang="en-US" sz="1200" u="none" baseline="0" smtClean="0">
              <a:solidFill>
                <a:srgbClr val="960000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en-US" sz="1200" u="none" smtClean="0">
              <a:solidFill>
                <a:srgbClr val="960000"/>
              </a:solidFill>
              <a:latin typeface="Arial" pitchFamily="34" charset="0"/>
              <a:ea typeface="+mn-ea"/>
              <a:cs typeface="Arial" pitchFamily="34" charset="0"/>
            </a:rPr>
            <a:t>two </a:t>
          </a:r>
          <a:r>
            <a:rPr lang="en-US" sz="1200" u="sng" smtClean="0">
              <a:solidFill>
                <a:srgbClr val="960000"/>
              </a:solidFill>
              <a:latin typeface="Arial" pitchFamily="34" charset="0"/>
              <a:ea typeface="+mn-ea"/>
              <a:cs typeface="Arial" pitchFamily="34" charset="0"/>
            </a:rPr>
            <a:t>main</a:t>
          </a:r>
          <a:r>
            <a:rPr lang="en-US" sz="1200" u="none" baseline="0" smtClean="0">
              <a:solidFill>
                <a:srgbClr val="960000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en-US" sz="1200" u="none" smtClean="0">
              <a:solidFill>
                <a:srgbClr val="960000"/>
              </a:solidFill>
              <a:latin typeface="Arial" pitchFamily="34" charset="0"/>
              <a:ea typeface="+mn-ea"/>
              <a:cs typeface="Arial" pitchFamily="34" charset="0"/>
            </a:rPr>
            <a:t>worksheets, plus one for stored results. Enter data only</a:t>
          </a:r>
          <a:r>
            <a:rPr lang="en-US" sz="1200" u="none" baseline="0" smtClean="0">
              <a:solidFill>
                <a:srgbClr val="960000"/>
              </a:solidFill>
              <a:latin typeface="Arial" pitchFamily="34" charset="0"/>
              <a:ea typeface="+mn-ea"/>
              <a:cs typeface="Arial" pitchFamily="34" charset="0"/>
            </a:rPr>
            <a:t> on</a:t>
          </a:r>
          <a:r>
            <a:rPr lang="en-US" sz="1200" u="none" smtClean="0">
              <a:solidFill>
                <a:srgbClr val="960000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en-US" sz="1200" u="sng" smtClean="0">
              <a:solidFill>
                <a:srgbClr val="960000"/>
              </a:solidFill>
              <a:latin typeface="Arial" pitchFamily="34" charset="0"/>
              <a:ea typeface="+mn-ea"/>
              <a:cs typeface="Arial" pitchFamily="34" charset="0"/>
            </a:rPr>
            <a:t>this</a:t>
          </a:r>
          <a:r>
            <a:rPr lang="en-US" sz="1200" u="none" smtClean="0">
              <a:solidFill>
                <a:srgbClr val="960000"/>
              </a:solidFill>
              <a:latin typeface="Arial" pitchFamily="34" charset="0"/>
              <a:ea typeface="+mn-ea"/>
              <a:cs typeface="Arial" pitchFamily="34" charset="0"/>
            </a:rPr>
            <a:t> worksheet, in blue-bordered cells only.  Data will be copied into the </a:t>
          </a:r>
          <a:r>
            <a:rPr lang="en-US" sz="1200" i="1" u="none" smtClean="0">
              <a:solidFill>
                <a:srgbClr val="960000"/>
              </a:solidFill>
              <a:latin typeface="Arial" pitchFamily="34" charset="0"/>
              <a:ea typeface="+mn-ea"/>
              <a:cs typeface="Arial" pitchFamily="34" charset="0"/>
            </a:rPr>
            <a:t>Calcs</a:t>
          </a:r>
          <a:r>
            <a:rPr lang="en-US" sz="1200" u="none" smtClean="0">
              <a:solidFill>
                <a:srgbClr val="960000"/>
              </a:solidFill>
              <a:latin typeface="Arial" pitchFamily="34" charset="0"/>
              <a:ea typeface="+mn-ea"/>
              <a:cs typeface="Arial" pitchFamily="34" charset="0"/>
            </a:rPr>
            <a:t> worksheet.  Figure 1 summarizes the results.  The </a:t>
          </a:r>
          <a:r>
            <a:rPr lang="en-US" sz="1200" u="none" baseline="0" smtClean="0">
              <a:solidFill>
                <a:srgbClr val="960000"/>
              </a:solidFill>
              <a:latin typeface="Arial" pitchFamily="34" charset="0"/>
              <a:ea typeface="+mn-ea"/>
              <a:cs typeface="Arial" pitchFamily="34" charset="0"/>
            </a:rPr>
            <a:t>chart legend shows a quadratic Trendline fit.</a:t>
          </a:r>
        </a:p>
        <a:p>
          <a:pPr algn="ctr"/>
          <a:endParaRPr lang="en-US" sz="800" u="none" baseline="0" smtClean="0">
            <a:solidFill>
              <a:srgbClr val="96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algn="ctr"/>
          <a:r>
            <a:rPr lang="en-US" sz="1000" b="0" i="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The calculator contains a sample system.  Changing any blue-bordered cell value will result in recalculation of all other dependent values.  Please read cell comments (cells with red corner), and the document.</a:t>
          </a:r>
        </a:p>
        <a:p>
          <a:pPr algn="ctr"/>
          <a:endParaRPr lang="en-US" sz="800" u="none" smtClean="0">
            <a:solidFill>
              <a:srgbClr val="96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algn="l"/>
          <a:r>
            <a:rPr lang="en-US" sz="1050" u="none" smtClean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1.</a:t>
          </a:r>
          <a:r>
            <a:rPr lang="en-US" sz="1050" u="none" baseline="0" smtClean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 Enter the fuel composition in column E, making sure that t</a:t>
          </a:r>
          <a:r>
            <a:rPr lang="en-US" sz="1050" u="none" smtClean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he value in cell F29 is</a:t>
          </a:r>
          <a:r>
            <a:rPr lang="en-US" sz="1050" u="none" baseline="0" smtClean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en-US" sz="1050" u="none" smtClean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non-negative.  The %C (E31) should be 0% (or 100% for graphite</a:t>
          </a:r>
          <a:r>
            <a:rPr lang="en-US" sz="1050" u="none" baseline="0" smtClean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combustion).</a:t>
          </a:r>
          <a:endParaRPr lang="en-US" sz="1050" u="none" smtClean="0">
            <a:solidFill>
              <a:schemeClr val="tx1"/>
            </a:solidFill>
            <a:latin typeface="Arial" pitchFamily="34" charset="0"/>
            <a:ea typeface="+mn-ea"/>
            <a:cs typeface="Arial" pitchFamily="34" charset="0"/>
          </a:endParaRPr>
        </a:p>
        <a:p>
          <a:pPr algn="l"/>
          <a:r>
            <a:rPr lang="en-US" sz="1050" u="none" smtClean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2.</a:t>
          </a:r>
          <a:r>
            <a:rPr lang="en-US" sz="1050" u="none" baseline="0" smtClean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 Enter the oxidant properties in range K19:K21 and the heat loss in cell K16.  Enter 0 for an adiabatic calculation.  The oxidant temperature range should be between 0° - 100°C.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50" u="none" baseline="0" smtClean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3.  Enter the fuel temperature in cell K24, in the </a:t>
          </a:r>
          <a:r>
            <a:rPr lang="en-US" sz="105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range should be between 0° - 100°C</a:t>
          </a:r>
          <a:r>
            <a:rPr lang="en-US" sz="1050" u="none" baseline="0" smtClean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.  </a:t>
          </a:r>
        </a:p>
        <a:p>
          <a:pPr algn="l"/>
          <a:r>
            <a:rPr lang="en-US" sz="1050" u="none" baseline="0" smtClean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4.  Enter the upper limit on the range of calculations of % excess air in cell K20.  Seven values will be used in the % available heat calculation, starting at stoichiometric oxidant (0% excess).  </a:t>
          </a:r>
        </a:p>
        <a:p>
          <a:pPr algn="l"/>
          <a:r>
            <a:rPr lang="en-US" sz="1050" u="none" baseline="0" smtClean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5.  A complete summary of the available heat results are shown on worksheet </a:t>
          </a:r>
          <a:r>
            <a:rPr lang="en-US" sz="1050" i="1" u="none" baseline="0" smtClean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Calcs</a:t>
          </a:r>
          <a:r>
            <a:rPr lang="en-US" sz="1050" u="none" baseline="0" smtClean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.  </a:t>
          </a:r>
        </a:p>
        <a:p>
          <a:pPr algn="l"/>
          <a:r>
            <a:rPr lang="en-US" sz="1050" u="none" baseline="0" smtClean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6.  If desired, you can copy results for several different fuels or oxidant properties to </a:t>
          </a:r>
          <a:r>
            <a:rPr kumimoji="0" lang="en-US" sz="1050" b="0" i="0" u="none" strike="noStrike" kern="0" cap="none" spc="0" normalizeH="0" baseline="0" noProof="0" smtClean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worksheet StoredResults, </a:t>
          </a:r>
          <a:r>
            <a:rPr lang="en-US" sz="1050" u="none" baseline="0" smtClean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and chart them. This worksheet has results for pure methane combustion for the conditions noted in the IH article, plus a chart for other species.</a:t>
          </a:r>
        </a:p>
        <a:p>
          <a:pPr algn="l"/>
          <a:r>
            <a:rPr lang="en-US" sz="1050" u="none" baseline="0" smtClean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7.  Please read the cell comments and documents.  </a:t>
          </a:r>
        </a:p>
      </xdr:txBody>
    </xdr:sp>
    <xdr:clientData/>
  </xdr:oneCellAnchor>
  <xdr:oneCellAnchor>
    <xdr:from>
      <xdr:col>2</xdr:col>
      <xdr:colOff>262466</xdr:colOff>
      <xdr:row>14</xdr:row>
      <xdr:rowOff>117687</xdr:rowOff>
    </xdr:from>
    <xdr:ext cx="3475503" cy="499533"/>
    <xdr:sp macro="" textlink="">
      <xdr:nvSpPr>
        <xdr:cNvPr id="6" name="TextBox 5"/>
        <xdr:cNvSpPr txBox="1"/>
      </xdr:nvSpPr>
      <xdr:spPr>
        <a:xfrm>
          <a:off x="1253066" y="2750820"/>
          <a:ext cx="3475503" cy="499533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>
          <a:solidFill>
            <a:schemeClr val="dk1">
              <a:shade val="95000"/>
              <a:satMod val="10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US" sz="1400"/>
            <a:t>Enter/Edit values in blue-bordered cells only!</a:t>
          </a:r>
        </a:p>
        <a:p>
          <a:endParaRPr lang="en-US" sz="1400"/>
        </a:p>
      </xdr:txBody>
    </xdr:sp>
    <xdr:clientData/>
  </xdr:oneCellAnchor>
  <xdr:oneCellAnchor>
    <xdr:from>
      <xdr:col>4</xdr:col>
      <xdr:colOff>374956</xdr:colOff>
      <xdr:row>16</xdr:row>
      <xdr:rowOff>49228</xdr:rowOff>
    </xdr:from>
    <xdr:ext cx="776510" cy="204772"/>
    <xdr:sp macro="" textlink="">
      <xdr:nvSpPr>
        <xdr:cNvPr id="9" name="TextBox 8"/>
        <xdr:cNvSpPr txBox="1"/>
      </xdr:nvSpPr>
      <xdr:spPr>
        <a:xfrm>
          <a:off x="2618623" y="3004095"/>
          <a:ext cx="776510" cy="204772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19050"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Like these</a:t>
          </a:r>
        </a:p>
      </xdr:txBody>
    </xdr:sp>
    <xdr:clientData/>
  </xdr:oneCellAnchor>
  <xdr:oneCellAnchor>
    <xdr:from>
      <xdr:col>1</xdr:col>
      <xdr:colOff>736600</xdr:colOff>
      <xdr:row>33</xdr:row>
      <xdr:rowOff>118534</xdr:rowOff>
    </xdr:from>
    <xdr:ext cx="5723467" cy="254000"/>
    <xdr:sp macro="" textlink="">
      <xdr:nvSpPr>
        <xdr:cNvPr id="7" name="TextBox 6"/>
        <xdr:cNvSpPr txBox="1"/>
      </xdr:nvSpPr>
      <xdr:spPr>
        <a:xfrm>
          <a:off x="939800" y="6138334"/>
          <a:ext cx="5723467" cy="25400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lang="en-US" sz="1400"/>
            <a:t>Thermodynamic Data</a:t>
          </a:r>
        </a:p>
      </xdr:txBody>
    </xdr:sp>
    <xdr:clientData/>
  </xdr:oneCellAnchor>
  <xdr:twoCellAnchor>
    <xdr:from>
      <xdr:col>8</xdr:col>
      <xdr:colOff>187716</xdr:colOff>
      <xdr:row>51</xdr:row>
      <xdr:rowOff>75837</xdr:rowOff>
    </xdr:from>
    <xdr:to>
      <xdr:col>16</xdr:col>
      <xdr:colOff>543318</xdr:colOff>
      <xdr:row>71</xdr:row>
      <xdr:rowOff>127000</xdr:rowOff>
    </xdr:to>
    <xdr:graphicFrame macro="">
      <xdr:nvGraphicFramePr>
        <xdr:cNvPr id="18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12</xdr:col>
      <xdr:colOff>521938</xdr:colOff>
      <xdr:row>7</xdr:row>
      <xdr:rowOff>151190</xdr:rowOff>
    </xdr:from>
    <xdr:to>
      <xdr:col>21</xdr:col>
      <xdr:colOff>22407</xdr:colOff>
      <xdr:row>24</xdr:row>
      <xdr:rowOff>141817</xdr:rowOff>
    </xdr:to>
    <xdr:graphicFrame macro="">
      <xdr:nvGraphicFramePr>
        <xdr:cNvPr id="35" name="Chart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6</xdr:row>
          <xdr:rowOff>121920</xdr:rowOff>
        </xdr:from>
        <xdr:to>
          <xdr:col>2</xdr:col>
          <xdr:colOff>0</xdr:colOff>
          <xdr:row>10</xdr:row>
          <xdr:rowOff>144780</xdr:rowOff>
        </xdr:to>
        <xdr:sp macro="" textlink="">
          <xdr:nvSpPr>
            <xdr:cNvPr id="4116" name="Object 20" hidden="1">
              <a:extLst>
                <a:ext uri="{63B3BB69-23CF-44E3-9099-C40C66FF867C}">
                  <a14:compatExt spid="_x0000_s41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2</xdr:col>
      <xdr:colOff>327659</xdr:colOff>
      <xdr:row>6</xdr:row>
      <xdr:rowOff>95069</xdr:rowOff>
    </xdr:from>
    <xdr:to>
      <xdr:col>4</xdr:col>
      <xdr:colOff>481</xdr:colOff>
      <xdr:row>8</xdr:row>
      <xdr:rowOff>144781</xdr:rowOff>
    </xdr:to>
    <xdr:sp macro="" textlink="">
      <xdr:nvSpPr>
        <xdr:cNvPr id="38" name="AutoShape 31"/>
        <xdr:cNvSpPr>
          <a:spLocks noChangeArrowheads="1"/>
        </xdr:cNvSpPr>
      </xdr:nvSpPr>
      <xdr:spPr bwMode="auto">
        <a:xfrm>
          <a:off x="1318259" y="1321889"/>
          <a:ext cx="929276" cy="384991"/>
        </a:xfrm>
        <a:prstGeom prst="wedgeRoundRectCallout">
          <a:avLst>
            <a:gd name="adj1" fmla="val -80468"/>
            <a:gd name="adj2" fmla="val 48170"/>
            <a:gd name="adj3" fmla="val 16667"/>
          </a:avLst>
        </a:prstGeom>
        <a:solidFill>
          <a:schemeClr val="accent6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Please read this document.</a:t>
          </a:r>
          <a:endParaRPr lang="en-US"/>
        </a:p>
      </xdr:txBody>
    </xdr:sp>
    <xdr:clientData/>
  </xdr:twoCellAnchor>
  <xdr:twoCellAnchor>
    <xdr:from>
      <xdr:col>7</xdr:col>
      <xdr:colOff>145137</xdr:colOff>
      <xdr:row>0</xdr:row>
      <xdr:rowOff>299357</xdr:rowOff>
    </xdr:from>
    <xdr:to>
      <xdr:col>10</xdr:col>
      <xdr:colOff>386438</xdr:colOff>
      <xdr:row>3</xdr:row>
      <xdr:rowOff>40253</xdr:rowOff>
    </xdr:to>
    <xdr:sp macro="" textlink="">
      <xdr:nvSpPr>
        <xdr:cNvPr id="41" name="Rectangle 40"/>
        <xdr:cNvSpPr/>
      </xdr:nvSpPr>
      <xdr:spPr>
        <a:xfrm>
          <a:off x="4290780" y="299357"/>
          <a:ext cx="2082801" cy="457539"/>
        </a:xfrm>
        <a:prstGeom prst="rect">
          <a:avLst/>
        </a:prstGeom>
        <a:solidFill>
          <a:schemeClr val="accent3"/>
        </a:solidFill>
        <a:ln w="158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lIns="91440" tIns="45720" rIns="91440" bIns="45720" anchor="ctr">
          <a:noAutofit/>
        </a:bodyPr>
        <a:lstStyle/>
        <a:p>
          <a:pPr algn="ctr"/>
          <a:r>
            <a:rPr lang="en-US" sz="28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Arial Rounded MT Bold" pitchFamily="34" charset="0"/>
            </a:rPr>
            <a:t>AFT-Calc</a:t>
          </a:r>
          <a:endParaRPr lang="en-US" sz="2800" b="1" cap="none" spc="0" baseline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twoCellAnchor>
  <xdr:twoCellAnchor>
    <xdr:from>
      <xdr:col>3</xdr:col>
      <xdr:colOff>208647</xdr:colOff>
      <xdr:row>3</xdr:row>
      <xdr:rowOff>117929</xdr:rowOff>
    </xdr:from>
    <xdr:to>
      <xdr:col>14</xdr:col>
      <xdr:colOff>19870</xdr:colOff>
      <xdr:row>5</xdr:row>
      <xdr:rowOff>161933</xdr:rowOff>
    </xdr:to>
    <xdr:sp macro="" textlink="">
      <xdr:nvSpPr>
        <xdr:cNvPr id="42" name="TextBox 41"/>
        <xdr:cNvSpPr txBox="1"/>
      </xdr:nvSpPr>
      <xdr:spPr>
        <a:xfrm>
          <a:off x="2013861" y="834572"/>
          <a:ext cx="6669223" cy="37057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n-US" sz="1600">
              <a:latin typeface="Arial Rounded MT Bold" pitchFamily="34" charset="0"/>
            </a:rPr>
            <a:t>An Adiabatic Flame Temperature Calculator for Excess Air Combustion of Natural</a:t>
          </a:r>
          <a:r>
            <a:rPr lang="en-US" sz="1600" baseline="0">
              <a:latin typeface="Arial Rounded MT Bold" pitchFamily="34" charset="0"/>
            </a:rPr>
            <a:t> </a:t>
          </a:r>
          <a:r>
            <a:rPr lang="en-US" sz="1600">
              <a:latin typeface="Arial Rounded MT Bold" pitchFamily="34" charset="0"/>
            </a:rPr>
            <a:t>Gas </a:t>
          </a:r>
        </a:p>
      </xdr:txBody>
    </xdr:sp>
    <xdr:clientData/>
  </xdr:twoCellAnchor>
  <xdr:twoCellAnchor editAs="absolute">
    <xdr:from>
      <xdr:col>2</xdr:col>
      <xdr:colOff>431800</xdr:colOff>
      <xdr:row>9</xdr:row>
      <xdr:rowOff>93134</xdr:rowOff>
    </xdr:from>
    <xdr:to>
      <xdr:col>9</xdr:col>
      <xdr:colOff>236479</xdr:colOff>
      <xdr:row>13</xdr:row>
      <xdr:rowOff>104915</xdr:rowOff>
    </xdr:to>
    <xdr:grpSp>
      <xdr:nvGrpSpPr>
        <xdr:cNvPr id="20" name="Group 19"/>
        <xdr:cNvGrpSpPr/>
      </xdr:nvGrpSpPr>
      <xdr:grpSpPr>
        <a:xfrm>
          <a:off x="1422400" y="1862667"/>
          <a:ext cx="3944879" cy="689115"/>
          <a:chOff x="1341120" y="2049780"/>
          <a:chExt cx="3805179" cy="563083"/>
        </a:xfrm>
      </xdr:grpSpPr>
      <xdr:grpSp>
        <xdr:nvGrpSpPr>
          <xdr:cNvPr id="45" name="Group 44"/>
          <xdr:cNvGrpSpPr/>
        </xdr:nvGrpSpPr>
        <xdr:grpSpPr>
          <a:xfrm>
            <a:off x="1526799" y="2219113"/>
            <a:ext cx="2491740" cy="245534"/>
            <a:chOff x="3962400" y="2598420"/>
            <a:chExt cx="1651001" cy="143933"/>
          </a:xfrm>
        </xdr:grpSpPr>
        <xdr:sp macro="" textlink="">
          <xdr:nvSpPr>
            <xdr:cNvPr id="46" name="Cloud 45"/>
            <xdr:cNvSpPr/>
          </xdr:nvSpPr>
          <xdr:spPr>
            <a:xfrm>
              <a:off x="3962400" y="2598420"/>
              <a:ext cx="1651001" cy="143933"/>
            </a:xfrm>
            <a:prstGeom prst="cloud">
              <a:avLst/>
            </a:prstGeom>
            <a:solidFill>
              <a:srgbClr val="0070C0"/>
            </a:solidFill>
            <a:ln w="12700">
              <a:noFill/>
            </a:ln>
            <a:effectLst/>
            <a:scene3d>
              <a:camera prst="orthographicFront">
                <a:rot lat="0" lon="0" rev="0"/>
              </a:camera>
              <a:lightRig rig="chilly" dir="t">
                <a:rot lat="0" lon="0" rev="18480000"/>
              </a:lightRig>
            </a:scene3d>
            <a:sp3d prstMaterial="clear">
              <a:bevelT h="63500"/>
            </a:sp3d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47" name="Cloud 46"/>
            <xdr:cNvSpPr/>
          </xdr:nvSpPr>
          <xdr:spPr>
            <a:xfrm>
              <a:off x="4614334" y="2625513"/>
              <a:ext cx="495299" cy="80433"/>
            </a:xfrm>
            <a:prstGeom prst="cloud">
              <a:avLst/>
            </a:prstGeom>
            <a:solidFill>
              <a:srgbClr val="0B062C"/>
            </a:solidFill>
            <a:ln w="12700">
              <a:noFill/>
            </a:ln>
            <a:effectLst/>
            <a:scene3d>
              <a:camera prst="orthographicFront">
                <a:rot lat="0" lon="0" rev="0"/>
              </a:camera>
              <a:lightRig rig="chilly" dir="t">
                <a:rot lat="0" lon="0" rev="18480000"/>
              </a:lightRig>
            </a:scene3d>
            <a:sp3d prstMaterial="clear">
              <a:bevelT h="63500"/>
            </a:sp3d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</xdr:grpSp>
      <xdr:sp macro="" textlink="">
        <xdr:nvSpPr>
          <xdr:cNvPr id="48" name="AutoShape 17" descr="50%"/>
          <xdr:cNvSpPr>
            <a:spLocks noChangeArrowheads="1"/>
          </xdr:cNvSpPr>
        </xdr:nvSpPr>
        <xdr:spPr bwMode="auto">
          <a:xfrm rot="16200000">
            <a:off x="2176978" y="1956243"/>
            <a:ext cx="558970" cy="746043"/>
          </a:xfrm>
          <a:custGeom>
            <a:avLst/>
            <a:gdLst>
              <a:gd name="T0" fmla="*/ 2147483647 w 21600"/>
              <a:gd name="T1" fmla="*/ 2147483647 h 21600"/>
              <a:gd name="T2" fmla="*/ 2147483647 w 21600"/>
              <a:gd name="T3" fmla="*/ 2147483647 h 21600"/>
              <a:gd name="T4" fmla="*/ 2147483647 w 21600"/>
              <a:gd name="T5" fmla="*/ 2147483647 h 21600"/>
              <a:gd name="T6" fmla="*/ 2147483647 w 21600"/>
              <a:gd name="T7" fmla="*/ 0 h 21600"/>
              <a:gd name="T8" fmla="*/ 0 60000 65536"/>
              <a:gd name="T9" fmla="*/ 0 60000 65536"/>
              <a:gd name="T10" fmla="*/ 0 60000 65536"/>
              <a:gd name="T11" fmla="*/ 0 60000 65536"/>
              <a:gd name="T12" fmla="*/ 4500 w 21600"/>
              <a:gd name="T13" fmla="*/ 4500 h 21600"/>
              <a:gd name="T14" fmla="*/ 17100 w 21600"/>
              <a:gd name="T15" fmla="*/ 17100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600" h="21600">
                <a:moveTo>
                  <a:pt x="0" y="0"/>
                </a:moveTo>
                <a:lnTo>
                  <a:pt x="5400" y="21600"/>
                </a:lnTo>
                <a:lnTo>
                  <a:pt x="16200" y="21600"/>
                </a:lnTo>
                <a:lnTo>
                  <a:pt x="21600" y="0"/>
                </a:lnTo>
                <a:lnTo>
                  <a:pt x="0" y="0"/>
                </a:lnTo>
                <a:close/>
              </a:path>
            </a:pathLst>
          </a:custGeom>
          <a:pattFill prst="pct50">
            <a:fgClr>
              <a:srgbClr val="C0C0C0"/>
            </a:fgClr>
            <a:bgClr>
              <a:srgbClr val="FFFFFF"/>
            </a:bgClr>
          </a:pattFill>
          <a:ln w="6350" cap="flat" cmpd="sng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prstDash val="solid"/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49" name="Text Box 25"/>
          <xdr:cNvSpPr txBox="1">
            <a:spLocks noChangeArrowheads="1"/>
          </xdr:cNvSpPr>
        </xdr:nvSpPr>
        <xdr:spPr bwMode="auto">
          <a:xfrm>
            <a:off x="2205585" y="2196662"/>
            <a:ext cx="496133" cy="22805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18288" tIns="22860" rIns="0" bIns="0" anchor="ctr" upright="1">
            <a:spAutoFit/>
          </a:bodyPr>
          <a:lstStyle/>
          <a:p>
            <a:pPr algn="ctr" rtl="0">
              <a:defRPr sz="1000"/>
            </a:pPr>
            <a:r>
              <a:rPr lang="en-US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Burner</a:t>
            </a:r>
          </a:p>
        </xdr:txBody>
      </xdr:sp>
      <xdr:sp macro="" textlink="">
        <xdr:nvSpPr>
          <xdr:cNvPr id="50" name="Text Box 29"/>
          <xdr:cNvSpPr txBox="1">
            <a:spLocks noChangeArrowheads="1"/>
          </xdr:cNvSpPr>
        </xdr:nvSpPr>
        <xdr:spPr bwMode="auto">
          <a:xfrm>
            <a:off x="4037238" y="2167389"/>
            <a:ext cx="1109061" cy="336767"/>
          </a:xfrm>
          <a:prstGeom prst="rect">
            <a:avLst/>
          </a:prstGeom>
          <a:solidFill>
            <a:srgbClr val="FFFFCC"/>
          </a:solidFill>
          <a:ln w="6350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ffectLst/>
          <a:extLst/>
        </xdr:spPr>
        <xdr:txBody>
          <a:bodyPr vertOverflow="clip" wrap="square" lIns="18288" tIns="22860" rIns="0" bIns="0" anchor="ctr"/>
          <a:lstStyle/>
          <a:p>
            <a:pPr marL="0" indent="0" algn="ctr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ea typeface="+mn-ea"/>
                <a:cs typeface="Arial"/>
              </a:rPr>
              <a:t>Flame:</a:t>
            </a:r>
          </a:p>
          <a:p>
            <a:pPr marL="0" indent="0" algn="ctr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ea typeface="+mn-ea"/>
                <a:cs typeface="Arial"/>
              </a:rPr>
              <a:t>CO</a:t>
            </a:r>
            <a:r>
              <a:rPr lang="en-US" sz="1000" b="0" i="0" u="none" strike="noStrike" baseline="-25000">
                <a:solidFill>
                  <a:srgbClr val="000000"/>
                </a:solidFill>
                <a:latin typeface="Arial"/>
                <a:ea typeface="+mn-ea"/>
                <a:cs typeface="Arial"/>
              </a:rPr>
              <a:t>2</a:t>
            </a: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ea typeface="+mn-ea"/>
                <a:cs typeface="Arial"/>
              </a:rPr>
              <a:t>, H</a:t>
            </a:r>
            <a:r>
              <a:rPr lang="en-US" sz="1000" b="0" i="0" u="none" strike="noStrike" baseline="-25000">
                <a:solidFill>
                  <a:srgbClr val="000000"/>
                </a:solidFill>
                <a:latin typeface="Arial"/>
                <a:ea typeface="+mn-ea"/>
                <a:cs typeface="Arial"/>
              </a:rPr>
              <a:t>2</a:t>
            </a: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ea typeface="+mn-ea"/>
                <a:cs typeface="Arial"/>
              </a:rPr>
              <a:t>O, O</a:t>
            </a:r>
            <a:r>
              <a:rPr lang="en-US" sz="1000" b="0" i="0" u="none" strike="noStrike" baseline="-25000">
                <a:solidFill>
                  <a:srgbClr val="000000"/>
                </a:solidFill>
                <a:latin typeface="Arial"/>
                <a:ea typeface="+mn-ea"/>
                <a:cs typeface="Arial"/>
              </a:rPr>
              <a:t>2</a:t>
            </a: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ea typeface="+mn-ea"/>
                <a:cs typeface="Arial"/>
              </a:rPr>
              <a:t>, N</a:t>
            </a:r>
            <a:r>
              <a:rPr lang="en-US" sz="1000" b="0" i="0" u="none" strike="noStrike" baseline="-25000">
                <a:solidFill>
                  <a:srgbClr val="000000"/>
                </a:solidFill>
                <a:latin typeface="Arial"/>
                <a:ea typeface="+mn-ea"/>
                <a:cs typeface="Arial"/>
              </a:rPr>
              <a:t>2</a:t>
            </a:r>
          </a:p>
        </xdr:txBody>
      </xdr:sp>
      <xdr:sp macro="" textlink="">
        <xdr:nvSpPr>
          <xdr:cNvPr id="51" name="Rectangle 50"/>
          <xdr:cNvSpPr/>
        </xdr:nvSpPr>
        <xdr:spPr>
          <a:xfrm>
            <a:off x="1496319" y="2148840"/>
            <a:ext cx="579120" cy="399627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52" name="Line 22"/>
          <xdr:cNvSpPr>
            <a:spLocks noChangeShapeType="1"/>
          </xdr:cNvSpPr>
        </xdr:nvSpPr>
        <xdr:spPr bwMode="auto">
          <a:xfrm>
            <a:off x="1790700" y="2188036"/>
            <a:ext cx="294646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3" name="Line 22"/>
          <xdr:cNvSpPr>
            <a:spLocks noChangeShapeType="1"/>
          </xdr:cNvSpPr>
        </xdr:nvSpPr>
        <xdr:spPr bwMode="auto">
          <a:xfrm>
            <a:off x="1813560" y="2516252"/>
            <a:ext cx="275820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" name="Text Box 29"/>
          <xdr:cNvSpPr txBox="1">
            <a:spLocks noChangeArrowheads="1"/>
          </xdr:cNvSpPr>
        </xdr:nvSpPr>
        <xdr:spPr bwMode="auto">
          <a:xfrm>
            <a:off x="1420119" y="2096733"/>
            <a:ext cx="377782" cy="183340"/>
          </a:xfrm>
          <a:prstGeom prst="rect">
            <a:avLst/>
          </a:prstGeom>
          <a:solidFill>
            <a:srgbClr val="FFFFCC"/>
          </a:solidFill>
          <a:ln w="6350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ffectLst/>
          <a:extLst/>
        </xdr:spPr>
        <xdr:txBody>
          <a:bodyPr vertOverflow="clip" wrap="square" lIns="18288" tIns="22860" rIns="0" bIns="0" anchor="ctr"/>
          <a:lstStyle/>
          <a:p>
            <a:pPr marL="0" indent="0" algn="ctr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ea typeface="+mn-ea"/>
                <a:cs typeface="Arial"/>
              </a:rPr>
              <a:t>Fuel</a:t>
            </a:r>
          </a:p>
        </xdr:txBody>
      </xdr:sp>
      <xdr:sp macro="" textlink="">
        <xdr:nvSpPr>
          <xdr:cNvPr id="55" name="Text Box 28"/>
          <xdr:cNvSpPr txBox="1">
            <a:spLocks noChangeArrowheads="1"/>
          </xdr:cNvSpPr>
        </xdr:nvSpPr>
        <xdr:spPr bwMode="auto">
          <a:xfrm>
            <a:off x="1341120" y="2429296"/>
            <a:ext cx="474919" cy="183567"/>
          </a:xfrm>
          <a:prstGeom prst="rect">
            <a:avLst/>
          </a:prstGeom>
          <a:solidFill>
            <a:srgbClr val="FFFFCC"/>
          </a:solidFill>
          <a:ln w="6350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ffectLst/>
          <a:extLst/>
        </xdr:spPr>
        <xdr:txBody>
          <a:bodyPr vertOverflow="clip" wrap="square" lIns="18288" tIns="22860" rIns="0" bIns="0" anchor="ctr"/>
          <a:lstStyle/>
          <a:p>
            <a:pPr marL="0" indent="0" algn="ctr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ea typeface="+mn-ea"/>
                <a:cs typeface="Arial"/>
              </a:rPr>
              <a:t>Oxidant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48</xdr:col>
      <xdr:colOff>57150</xdr:colOff>
      <xdr:row>9</xdr:row>
      <xdr:rowOff>133350</xdr:rowOff>
    </xdr:from>
    <xdr:ext cx="828675" cy="428625"/>
    <xdr:sp macro="" textlink="">
      <xdr:nvSpPr>
        <xdr:cNvPr id="2" name="Text Box 19"/>
        <xdr:cNvSpPr txBox="1">
          <a:spLocks noChangeArrowheads="1"/>
        </xdr:cNvSpPr>
      </xdr:nvSpPr>
      <xdr:spPr bwMode="auto">
        <a:xfrm>
          <a:off x="6922770" y="3493770"/>
          <a:ext cx="828675" cy="4286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27432" tIns="27432" rIns="27432" bIns="0" anchor="t" upright="1">
          <a:spAutoFit/>
        </a:bodyPr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Calculator</a:t>
          </a:r>
        </a:p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#1</a:t>
          </a:r>
          <a:endParaRPr lang="en-US"/>
        </a:p>
      </xdr:txBody>
    </xdr:sp>
    <xdr:clientData/>
  </xdr:oneCellAnchor>
  <xdr:twoCellAnchor editAs="oneCell">
    <xdr:from>
      <xdr:col>0</xdr:col>
      <xdr:colOff>426327</xdr:colOff>
      <xdr:row>1</xdr:row>
      <xdr:rowOff>166961</xdr:rowOff>
    </xdr:from>
    <xdr:to>
      <xdr:col>2</xdr:col>
      <xdr:colOff>484023</xdr:colOff>
      <xdr:row>1</xdr:row>
      <xdr:rowOff>864667</xdr:rowOff>
    </xdr:to>
    <xdr:sp macro="" textlink="">
      <xdr:nvSpPr>
        <xdr:cNvPr id="5" name="Text Box 34"/>
        <xdr:cNvSpPr txBox="1">
          <a:spLocks noChangeArrowheads="1"/>
        </xdr:cNvSpPr>
      </xdr:nvSpPr>
      <xdr:spPr bwMode="auto">
        <a:xfrm>
          <a:off x="426327" y="385927"/>
          <a:ext cx="1467834" cy="69770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Rounded MT Bold"/>
            </a:rPr>
            <a:t>Calculator created by</a:t>
          </a: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Rounded MT Bold"/>
            </a:rPr>
            <a:t>A. E. Morris</a:t>
          </a: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Rounded MT Bold"/>
            </a:rPr>
            <a:t>Thermart Software</a:t>
          </a: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Rounded MT Bold"/>
            </a:rPr>
            <a:t>www.thermart.net</a:t>
          </a:r>
          <a:endParaRPr lang="en-US"/>
        </a:p>
      </xdr:txBody>
    </xdr:sp>
    <xdr:clientData/>
  </xdr:twoCellAnchor>
  <xdr:oneCellAnchor>
    <xdr:from>
      <xdr:col>5</xdr:col>
      <xdr:colOff>184040</xdr:colOff>
      <xdr:row>2</xdr:row>
      <xdr:rowOff>65</xdr:rowOff>
    </xdr:from>
    <xdr:ext cx="3450789" cy="333375"/>
    <xdr:sp macro="" textlink="">
      <xdr:nvSpPr>
        <xdr:cNvPr id="30" name="TextBox 29"/>
        <xdr:cNvSpPr txBox="1"/>
      </xdr:nvSpPr>
      <xdr:spPr>
        <a:xfrm>
          <a:off x="3319626" y="1164962"/>
          <a:ext cx="3450789" cy="333375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>
          <a:solidFill>
            <a:schemeClr val="dk1">
              <a:shade val="95000"/>
              <a:satMod val="10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US" sz="1600">
              <a:latin typeface="Arial" pitchFamily="34" charset="0"/>
              <a:cs typeface="Arial" pitchFamily="34" charset="0"/>
            </a:rPr>
            <a:t>Do not edit/enter values in any cells!</a:t>
          </a:r>
        </a:p>
        <a:p>
          <a:endParaRPr lang="en-US" sz="1600">
            <a:latin typeface="Arial" pitchFamily="34" charset="0"/>
            <a:cs typeface="Arial" pitchFamily="34" charset="0"/>
          </a:endParaRPr>
        </a:p>
      </xdr:txBody>
    </xdr:sp>
    <xdr:clientData/>
  </xdr:oneCellAnchor>
  <xdr:twoCellAnchor>
    <xdr:from>
      <xdr:col>10</xdr:col>
      <xdr:colOff>561975</xdr:colOff>
      <xdr:row>19</xdr:row>
      <xdr:rowOff>9525</xdr:rowOff>
    </xdr:from>
    <xdr:to>
      <xdr:col>11</xdr:col>
      <xdr:colOff>57150</xdr:colOff>
      <xdr:row>22</xdr:row>
      <xdr:rowOff>161925</xdr:rowOff>
    </xdr:to>
    <xdr:sp macro="" textlink="">
      <xdr:nvSpPr>
        <xdr:cNvPr id="25" name="Left Brace 24"/>
        <xdr:cNvSpPr/>
      </xdr:nvSpPr>
      <xdr:spPr>
        <a:xfrm>
          <a:off x="6724650" y="4819650"/>
          <a:ext cx="171450" cy="723900"/>
        </a:xfrm>
        <a:prstGeom prst="leftBrace">
          <a:avLst>
            <a:gd name="adj1" fmla="val 20459"/>
            <a:gd name="adj2" fmla="val 48652"/>
          </a:avLst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579493</xdr:colOff>
      <xdr:row>24</xdr:row>
      <xdr:rowOff>9525</xdr:rowOff>
    </xdr:from>
    <xdr:to>
      <xdr:col>11</xdr:col>
      <xdr:colOff>74668</xdr:colOff>
      <xdr:row>27</xdr:row>
      <xdr:rowOff>161925</xdr:rowOff>
    </xdr:to>
    <xdr:sp macro="" textlink="">
      <xdr:nvSpPr>
        <xdr:cNvPr id="26" name="Left Brace 25"/>
        <xdr:cNvSpPr/>
      </xdr:nvSpPr>
      <xdr:spPr>
        <a:xfrm>
          <a:off x="6850665" y="5588766"/>
          <a:ext cx="169589" cy="791780"/>
        </a:xfrm>
        <a:prstGeom prst="leftBrace">
          <a:avLst>
            <a:gd name="adj1" fmla="val 20459"/>
            <a:gd name="adj2" fmla="val 48652"/>
          </a:avLst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absolute">
    <xdr:from>
      <xdr:col>4</xdr:col>
      <xdr:colOff>551794</xdr:colOff>
      <xdr:row>1</xdr:row>
      <xdr:rowOff>17517</xdr:rowOff>
    </xdr:from>
    <xdr:to>
      <xdr:col>11</xdr:col>
      <xdr:colOff>47732</xdr:colOff>
      <xdr:row>1</xdr:row>
      <xdr:rowOff>825550</xdr:rowOff>
    </xdr:to>
    <xdr:grpSp>
      <xdr:nvGrpSpPr>
        <xdr:cNvPr id="27" name="Group 26"/>
        <xdr:cNvGrpSpPr/>
      </xdr:nvGrpSpPr>
      <xdr:grpSpPr>
        <a:xfrm>
          <a:off x="2977932" y="236483"/>
          <a:ext cx="3989110" cy="808033"/>
          <a:chOff x="1341120" y="2049780"/>
          <a:chExt cx="3805179" cy="563083"/>
        </a:xfrm>
      </xdr:grpSpPr>
      <xdr:grpSp>
        <xdr:nvGrpSpPr>
          <xdr:cNvPr id="28" name="Group 27"/>
          <xdr:cNvGrpSpPr/>
        </xdr:nvGrpSpPr>
        <xdr:grpSpPr>
          <a:xfrm>
            <a:off x="1526799" y="2219113"/>
            <a:ext cx="2491740" cy="245534"/>
            <a:chOff x="3962400" y="2598420"/>
            <a:chExt cx="1651001" cy="143933"/>
          </a:xfrm>
        </xdr:grpSpPr>
        <xdr:sp macro="" textlink="">
          <xdr:nvSpPr>
            <xdr:cNvPr id="56" name="Cloud 55"/>
            <xdr:cNvSpPr/>
          </xdr:nvSpPr>
          <xdr:spPr>
            <a:xfrm>
              <a:off x="3962400" y="2598420"/>
              <a:ext cx="1651001" cy="143933"/>
            </a:xfrm>
            <a:prstGeom prst="cloud">
              <a:avLst/>
            </a:prstGeom>
            <a:solidFill>
              <a:srgbClr val="0070C0"/>
            </a:solidFill>
            <a:ln w="12700">
              <a:noFill/>
            </a:ln>
            <a:effectLst/>
            <a:scene3d>
              <a:camera prst="orthographicFront">
                <a:rot lat="0" lon="0" rev="0"/>
              </a:camera>
              <a:lightRig rig="chilly" dir="t">
                <a:rot lat="0" lon="0" rev="18480000"/>
              </a:lightRig>
            </a:scene3d>
            <a:sp3d prstMaterial="clear">
              <a:bevelT h="63500"/>
            </a:sp3d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57" name="Cloud 56"/>
            <xdr:cNvSpPr/>
          </xdr:nvSpPr>
          <xdr:spPr>
            <a:xfrm>
              <a:off x="4614334" y="2625513"/>
              <a:ext cx="495299" cy="80433"/>
            </a:xfrm>
            <a:prstGeom prst="cloud">
              <a:avLst/>
            </a:prstGeom>
            <a:solidFill>
              <a:srgbClr val="0B062C"/>
            </a:solidFill>
            <a:ln w="12700">
              <a:noFill/>
            </a:ln>
            <a:effectLst/>
            <a:scene3d>
              <a:camera prst="orthographicFront">
                <a:rot lat="0" lon="0" rev="0"/>
              </a:camera>
              <a:lightRig rig="chilly" dir="t">
                <a:rot lat="0" lon="0" rev="18480000"/>
              </a:lightRig>
            </a:scene3d>
            <a:sp3d prstMaterial="clear">
              <a:bevelT h="63500"/>
            </a:sp3d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</xdr:grpSp>
      <xdr:sp macro="" textlink="">
        <xdr:nvSpPr>
          <xdr:cNvPr id="29" name="AutoShape 17" descr="50%"/>
          <xdr:cNvSpPr>
            <a:spLocks noChangeArrowheads="1"/>
          </xdr:cNvSpPr>
        </xdr:nvSpPr>
        <xdr:spPr bwMode="auto">
          <a:xfrm rot="16200000">
            <a:off x="2176978" y="1956243"/>
            <a:ext cx="558970" cy="746043"/>
          </a:xfrm>
          <a:custGeom>
            <a:avLst/>
            <a:gdLst>
              <a:gd name="T0" fmla="*/ 2147483647 w 21600"/>
              <a:gd name="T1" fmla="*/ 2147483647 h 21600"/>
              <a:gd name="T2" fmla="*/ 2147483647 w 21600"/>
              <a:gd name="T3" fmla="*/ 2147483647 h 21600"/>
              <a:gd name="T4" fmla="*/ 2147483647 w 21600"/>
              <a:gd name="T5" fmla="*/ 2147483647 h 21600"/>
              <a:gd name="T6" fmla="*/ 2147483647 w 21600"/>
              <a:gd name="T7" fmla="*/ 0 h 21600"/>
              <a:gd name="T8" fmla="*/ 0 60000 65536"/>
              <a:gd name="T9" fmla="*/ 0 60000 65536"/>
              <a:gd name="T10" fmla="*/ 0 60000 65536"/>
              <a:gd name="T11" fmla="*/ 0 60000 65536"/>
              <a:gd name="T12" fmla="*/ 4500 w 21600"/>
              <a:gd name="T13" fmla="*/ 4500 h 21600"/>
              <a:gd name="T14" fmla="*/ 17100 w 21600"/>
              <a:gd name="T15" fmla="*/ 17100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600" h="21600">
                <a:moveTo>
                  <a:pt x="0" y="0"/>
                </a:moveTo>
                <a:lnTo>
                  <a:pt x="5400" y="21600"/>
                </a:lnTo>
                <a:lnTo>
                  <a:pt x="16200" y="21600"/>
                </a:lnTo>
                <a:lnTo>
                  <a:pt x="21600" y="0"/>
                </a:lnTo>
                <a:lnTo>
                  <a:pt x="0" y="0"/>
                </a:lnTo>
                <a:close/>
              </a:path>
            </a:pathLst>
          </a:custGeom>
          <a:pattFill prst="pct50">
            <a:fgClr>
              <a:srgbClr val="C0C0C0"/>
            </a:fgClr>
            <a:bgClr>
              <a:srgbClr val="FFFFFF"/>
            </a:bgClr>
          </a:pattFill>
          <a:ln w="6350" cap="flat" cmpd="sng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prstDash val="solid"/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49" name="Text Box 25"/>
          <xdr:cNvSpPr txBox="1">
            <a:spLocks noChangeArrowheads="1"/>
          </xdr:cNvSpPr>
        </xdr:nvSpPr>
        <xdr:spPr bwMode="auto">
          <a:xfrm>
            <a:off x="2205585" y="2196662"/>
            <a:ext cx="496133" cy="22805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18288" tIns="22860" rIns="0" bIns="0" anchor="ctr" upright="1">
            <a:spAutoFit/>
          </a:bodyPr>
          <a:lstStyle/>
          <a:p>
            <a:pPr algn="ctr" rtl="0">
              <a:defRPr sz="1000"/>
            </a:pPr>
            <a:r>
              <a:rPr lang="en-US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Burner</a:t>
            </a:r>
          </a:p>
        </xdr:txBody>
      </xdr:sp>
      <xdr:sp macro="" textlink="">
        <xdr:nvSpPr>
          <xdr:cNvPr id="50" name="Text Box 29"/>
          <xdr:cNvSpPr txBox="1">
            <a:spLocks noChangeArrowheads="1"/>
          </xdr:cNvSpPr>
        </xdr:nvSpPr>
        <xdr:spPr bwMode="auto">
          <a:xfrm>
            <a:off x="4037238" y="2153539"/>
            <a:ext cx="1109061" cy="350618"/>
          </a:xfrm>
          <a:prstGeom prst="rect">
            <a:avLst/>
          </a:prstGeom>
          <a:solidFill>
            <a:srgbClr val="FFFFCC"/>
          </a:solidFill>
          <a:ln w="6350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ffectLst/>
          <a:extLst/>
        </xdr:spPr>
        <xdr:txBody>
          <a:bodyPr vertOverflow="clip" wrap="square" lIns="18288" tIns="22860" rIns="0" bIns="0" anchor="ctr"/>
          <a:lstStyle/>
          <a:p>
            <a:pPr marL="0" indent="0" algn="ctr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ea typeface="+mn-ea"/>
                <a:cs typeface="Arial"/>
              </a:rPr>
              <a:t>Flame:</a:t>
            </a:r>
          </a:p>
          <a:p>
            <a:pPr marL="0" indent="0" algn="ctr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ea typeface="+mn-ea"/>
                <a:cs typeface="Arial"/>
              </a:rPr>
              <a:t>CO</a:t>
            </a:r>
            <a:r>
              <a:rPr lang="en-US" sz="1000" b="0" i="0" u="none" strike="noStrike" baseline="-25000">
                <a:solidFill>
                  <a:srgbClr val="000000"/>
                </a:solidFill>
                <a:latin typeface="Arial"/>
                <a:ea typeface="+mn-ea"/>
                <a:cs typeface="Arial"/>
              </a:rPr>
              <a:t>2</a:t>
            </a: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ea typeface="+mn-ea"/>
                <a:cs typeface="Arial"/>
              </a:rPr>
              <a:t>, H</a:t>
            </a:r>
            <a:r>
              <a:rPr lang="en-US" sz="1000" b="0" i="0" u="none" strike="noStrike" baseline="-25000">
                <a:solidFill>
                  <a:srgbClr val="000000"/>
                </a:solidFill>
                <a:latin typeface="Arial"/>
                <a:ea typeface="+mn-ea"/>
                <a:cs typeface="Arial"/>
              </a:rPr>
              <a:t>2</a:t>
            </a: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ea typeface="+mn-ea"/>
                <a:cs typeface="Arial"/>
              </a:rPr>
              <a:t>O, O</a:t>
            </a:r>
            <a:r>
              <a:rPr lang="en-US" sz="1000" b="0" i="0" u="none" strike="noStrike" baseline="-25000">
                <a:solidFill>
                  <a:srgbClr val="000000"/>
                </a:solidFill>
                <a:latin typeface="Arial"/>
                <a:ea typeface="+mn-ea"/>
                <a:cs typeface="Arial"/>
              </a:rPr>
              <a:t>2</a:t>
            </a: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ea typeface="+mn-ea"/>
                <a:cs typeface="Arial"/>
              </a:rPr>
              <a:t>, N</a:t>
            </a:r>
            <a:r>
              <a:rPr lang="en-US" sz="1000" b="0" i="0" u="none" strike="noStrike" baseline="-25000">
                <a:solidFill>
                  <a:srgbClr val="000000"/>
                </a:solidFill>
                <a:latin typeface="Arial"/>
                <a:ea typeface="+mn-ea"/>
                <a:cs typeface="Arial"/>
              </a:rPr>
              <a:t>2</a:t>
            </a:r>
          </a:p>
        </xdr:txBody>
      </xdr:sp>
      <xdr:sp macro="" textlink="">
        <xdr:nvSpPr>
          <xdr:cNvPr id="51" name="Rectangle 50"/>
          <xdr:cNvSpPr/>
        </xdr:nvSpPr>
        <xdr:spPr>
          <a:xfrm>
            <a:off x="1496319" y="2148840"/>
            <a:ext cx="579120" cy="399627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52" name="Line 22"/>
          <xdr:cNvSpPr>
            <a:spLocks noChangeShapeType="1"/>
          </xdr:cNvSpPr>
        </xdr:nvSpPr>
        <xdr:spPr bwMode="auto">
          <a:xfrm>
            <a:off x="1790700" y="2188036"/>
            <a:ext cx="294646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3" name="Line 22"/>
          <xdr:cNvSpPr>
            <a:spLocks noChangeShapeType="1"/>
          </xdr:cNvSpPr>
        </xdr:nvSpPr>
        <xdr:spPr bwMode="auto">
          <a:xfrm>
            <a:off x="1813560" y="2516252"/>
            <a:ext cx="275820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" name="Text Box 29"/>
          <xdr:cNvSpPr txBox="1">
            <a:spLocks noChangeArrowheads="1"/>
          </xdr:cNvSpPr>
        </xdr:nvSpPr>
        <xdr:spPr bwMode="auto">
          <a:xfrm>
            <a:off x="1420119" y="2096733"/>
            <a:ext cx="377782" cy="183340"/>
          </a:xfrm>
          <a:prstGeom prst="rect">
            <a:avLst/>
          </a:prstGeom>
          <a:solidFill>
            <a:srgbClr val="FFFFCC"/>
          </a:solidFill>
          <a:ln w="6350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ffectLst/>
          <a:extLst/>
        </xdr:spPr>
        <xdr:txBody>
          <a:bodyPr vertOverflow="clip" wrap="square" lIns="18288" tIns="22860" rIns="0" bIns="0" anchor="ctr"/>
          <a:lstStyle/>
          <a:p>
            <a:pPr marL="0" indent="0" algn="ctr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ea typeface="+mn-ea"/>
                <a:cs typeface="Arial"/>
              </a:rPr>
              <a:t>Fuel</a:t>
            </a:r>
          </a:p>
        </xdr:txBody>
      </xdr:sp>
      <xdr:sp macro="" textlink="">
        <xdr:nvSpPr>
          <xdr:cNvPr id="55" name="Text Box 28"/>
          <xdr:cNvSpPr txBox="1">
            <a:spLocks noChangeArrowheads="1"/>
          </xdr:cNvSpPr>
        </xdr:nvSpPr>
        <xdr:spPr bwMode="auto">
          <a:xfrm>
            <a:off x="1341120" y="2429296"/>
            <a:ext cx="474919" cy="183567"/>
          </a:xfrm>
          <a:prstGeom prst="rect">
            <a:avLst/>
          </a:prstGeom>
          <a:solidFill>
            <a:srgbClr val="FFFFCC"/>
          </a:solidFill>
          <a:ln w="6350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ffectLst/>
          <a:extLst/>
        </xdr:spPr>
        <xdr:txBody>
          <a:bodyPr vertOverflow="clip" wrap="square" lIns="18288" tIns="22860" rIns="0" bIns="0" anchor="ctr"/>
          <a:lstStyle/>
          <a:p>
            <a:pPr marL="0" indent="0" algn="ctr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ea typeface="+mn-ea"/>
                <a:cs typeface="Arial"/>
              </a:rPr>
              <a:t>Oxidant</a:t>
            </a:r>
          </a:p>
        </xdr:txBody>
      </xdr:sp>
    </xdr:grpSp>
    <xdr:clientData/>
  </xdr:twoCellAnchor>
  <xdr:twoCellAnchor>
    <xdr:from>
      <xdr:col>2</xdr:col>
      <xdr:colOff>52235</xdr:colOff>
      <xdr:row>39</xdr:row>
      <xdr:rowOff>17519</xdr:rowOff>
    </xdr:from>
    <xdr:to>
      <xdr:col>5</xdr:col>
      <xdr:colOff>176179</xdr:colOff>
      <xdr:row>45</xdr:row>
      <xdr:rowOff>127365</xdr:rowOff>
    </xdr:to>
    <xdr:grpSp>
      <xdr:nvGrpSpPr>
        <xdr:cNvPr id="3" name="Group 2"/>
        <xdr:cNvGrpSpPr/>
      </xdr:nvGrpSpPr>
      <xdr:grpSpPr>
        <a:xfrm>
          <a:off x="1462373" y="8145519"/>
          <a:ext cx="1823116" cy="1169639"/>
          <a:chOff x="1825779" y="8627241"/>
          <a:chExt cx="2049109" cy="1204674"/>
        </a:xfrm>
      </xdr:grpSpPr>
      <xdr:cxnSp macro="">
        <xdr:nvCxnSpPr>
          <xdr:cNvPr id="58" name="Straight Connector 57"/>
          <xdr:cNvCxnSpPr/>
        </xdr:nvCxnSpPr>
        <xdr:spPr>
          <a:xfrm>
            <a:off x="2045687" y="9671895"/>
            <a:ext cx="1642841" cy="0"/>
          </a:xfrm>
          <a:prstGeom prst="line">
            <a:avLst/>
          </a:prstGeom>
          <a:ln w="12700">
            <a:solidFill>
              <a:schemeClr val="tx1"/>
            </a:solidFill>
            <a:headEnd type="none" w="med" len="med"/>
            <a:tailEnd type="triangle" w="med" len="med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59" name="Straight Arrow Connector 58"/>
          <xdr:cNvCxnSpPr/>
        </xdr:nvCxnSpPr>
        <xdr:spPr>
          <a:xfrm flipV="1">
            <a:off x="2069271" y="9671895"/>
            <a:ext cx="0" cy="160020"/>
          </a:xfrm>
          <a:prstGeom prst="straightConnector1">
            <a:avLst/>
          </a:prstGeom>
          <a:ln w="12700">
            <a:solidFill>
              <a:schemeClr val="tx1"/>
            </a:solidFill>
            <a:headEnd type="none" w="med" len="med"/>
            <a:tailEnd type="triangle" w="med" len="med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60" name="Straight Arrow Connector 59"/>
          <xdr:cNvCxnSpPr/>
        </xdr:nvCxnSpPr>
        <xdr:spPr>
          <a:xfrm>
            <a:off x="2107371" y="9517802"/>
            <a:ext cx="0" cy="161713"/>
          </a:xfrm>
          <a:prstGeom prst="straightConnector1">
            <a:avLst/>
          </a:prstGeom>
          <a:ln w="12700">
            <a:solidFill>
              <a:schemeClr val="tx1"/>
            </a:solidFill>
            <a:headEnd type="none" w="med" len="med"/>
            <a:tailEnd type="triangle" w="med" len="med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 fLocksText="0">
        <xdr:nvSpPr>
          <xdr:cNvPr id="61" name="TextBox 60"/>
          <xdr:cNvSpPr txBox="1"/>
        </xdr:nvSpPr>
        <xdr:spPr>
          <a:xfrm>
            <a:off x="2255895" y="9539861"/>
            <a:ext cx="1263905" cy="256898"/>
          </a:xfrm>
          <a:prstGeom prst="rect">
            <a:avLst/>
          </a:prstGeom>
          <a:solidFill>
            <a:srgbClr val="FF9797"/>
          </a:solidFill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spAutoFit/>
          </a:bodyPr>
          <a:lstStyle/>
          <a:p>
            <a:pPr algn="ctr"/>
            <a:r>
              <a:rPr lang="en-US" sz="1000" b="1">
                <a:latin typeface="Symbol" pitchFamily="18" charset="2"/>
                <a:cs typeface="Arial" pitchFamily="34" charset="0"/>
              </a:rPr>
              <a:t>D</a:t>
            </a:r>
            <a:r>
              <a:rPr lang="en-US" sz="1000" b="1" i="1">
                <a:latin typeface="Arial" pitchFamily="34" charset="0"/>
                <a:cs typeface="Arial" pitchFamily="34" charset="0"/>
              </a:rPr>
              <a:t>H</a:t>
            </a:r>
            <a:r>
              <a:rPr lang="en-US" sz="1000" b="1">
                <a:latin typeface="Arial" pitchFamily="34" charset="0"/>
                <a:cs typeface="Arial" pitchFamily="34" charset="0"/>
              </a:rPr>
              <a:t>°</a:t>
            </a:r>
            <a:r>
              <a:rPr lang="en-US" sz="1000" b="1" baseline="-25000">
                <a:latin typeface="Arial" pitchFamily="34" charset="0"/>
                <a:cs typeface="Arial" pitchFamily="34" charset="0"/>
              </a:rPr>
              <a:t>comb</a:t>
            </a:r>
            <a:r>
              <a:rPr lang="en-US" sz="1000" b="1" baseline="0">
                <a:latin typeface="Arial" pitchFamily="34" charset="0"/>
                <a:cs typeface="Arial" pitchFamily="34" charset="0"/>
              </a:rPr>
              <a:t> at 25°C</a:t>
            </a:r>
            <a:endParaRPr lang="en-US" sz="1000" b="1">
              <a:latin typeface="Arial" pitchFamily="34" charset="0"/>
              <a:cs typeface="Arial" pitchFamily="34" charset="0"/>
            </a:endParaRPr>
          </a:p>
        </xdr:txBody>
      </xdr:sp>
      <xdr:cxnSp macro="">
        <xdr:nvCxnSpPr>
          <xdr:cNvPr id="62" name="Straight Connector 61"/>
          <xdr:cNvCxnSpPr/>
        </xdr:nvCxnSpPr>
        <xdr:spPr>
          <a:xfrm flipV="1">
            <a:off x="3668868" y="8825231"/>
            <a:ext cx="0" cy="846666"/>
          </a:xfrm>
          <a:prstGeom prst="line">
            <a:avLst/>
          </a:prstGeom>
          <a:ln w="12700">
            <a:solidFill>
              <a:schemeClr val="tx1"/>
            </a:solidFill>
            <a:headEnd type="none" w="med" len="med"/>
            <a:tailEnd type="triangle" w="med" len="med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grpSp>
        <xdr:nvGrpSpPr>
          <xdr:cNvPr id="63" name="Group 62"/>
          <xdr:cNvGrpSpPr/>
        </xdr:nvGrpSpPr>
        <xdr:grpSpPr>
          <a:xfrm>
            <a:off x="1825779" y="9419275"/>
            <a:ext cx="210158" cy="227948"/>
            <a:chOff x="2882057" y="2202384"/>
            <a:chExt cx="209474" cy="228600"/>
          </a:xfrm>
        </xdr:grpSpPr>
        <xdr:sp macro="" textlink="">
          <xdr:nvSpPr>
            <xdr:cNvPr id="64" name="Oval 63"/>
            <xdr:cNvSpPr/>
          </xdr:nvSpPr>
          <xdr:spPr>
            <a:xfrm>
              <a:off x="2921568" y="2268127"/>
              <a:ext cx="169963" cy="141057"/>
            </a:xfrm>
            <a:prstGeom prst="ellipse">
              <a:avLst/>
            </a:prstGeom>
            <a:solidFill>
              <a:schemeClr val="bg1">
                <a:alpha val="19000"/>
              </a:schemeClr>
            </a:solidFill>
            <a:ln w="9525"/>
          </xdr:spPr>
          <xdr:style>
            <a:lnRef idx="2">
              <a:schemeClr val="dk1">
                <a:shade val="50000"/>
              </a:schemeClr>
            </a:lnRef>
            <a:fillRef idx="1">
              <a:schemeClr val="dk1"/>
            </a:fillRef>
            <a:effectRef idx="0">
              <a:schemeClr val="dk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en-US" sz="1100">
                  <a:latin typeface="Arial" pitchFamily="34" charset="0"/>
                  <a:cs typeface="Arial" pitchFamily="34" charset="0"/>
                </a:rPr>
                <a:t>1121</a:t>
              </a:r>
            </a:p>
          </xdr:txBody>
        </xdr:sp>
        <xdr:sp macro="" textlink="">
          <xdr:nvSpPr>
            <xdr:cNvPr id="65" name="TextBox 64"/>
            <xdr:cNvSpPr txBox="1"/>
          </xdr:nvSpPr>
          <xdr:spPr>
            <a:xfrm>
              <a:off x="2882057" y="2202384"/>
              <a:ext cx="195201" cy="2286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r>
                <a:rPr lang="en-US" sz="1100"/>
                <a:t>1</a:t>
              </a:r>
            </a:p>
          </xdr:txBody>
        </xdr:sp>
      </xdr:grpSp>
      <xdr:grpSp>
        <xdr:nvGrpSpPr>
          <xdr:cNvPr id="66" name="Group 65"/>
          <xdr:cNvGrpSpPr/>
        </xdr:nvGrpSpPr>
        <xdr:grpSpPr>
          <a:xfrm>
            <a:off x="2685979" y="9299296"/>
            <a:ext cx="199999" cy="227298"/>
            <a:chOff x="2895544" y="2315892"/>
            <a:chExt cx="199348" cy="228600"/>
          </a:xfrm>
        </xdr:grpSpPr>
        <xdr:sp macro="" textlink="">
          <xdr:nvSpPr>
            <xdr:cNvPr id="67" name="Oval 66"/>
            <xdr:cNvSpPr/>
          </xdr:nvSpPr>
          <xdr:spPr>
            <a:xfrm>
              <a:off x="2954215" y="2379785"/>
              <a:ext cx="140677" cy="146538"/>
            </a:xfrm>
            <a:prstGeom prst="ellipse">
              <a:avLst/>
            </a:prstGeom>
            <a:solidFill>
              <a:schemeClr val="bg1">
                <a:alpha val="19000"/>
              </a:schemeClr>
            </a:solidFill>
            <a:ln w="9525"/>
          </xdr:spPr>
          <xdr:style>
            <a:lnRef idx="2">
              <a:schemeClr val="dk1">
                <a:shade val="50000"/>
              </a:schemeClr>
            </a:lnRef>
            <a:fillRef idx="1">
              <a:schemeClr val="dk1"/>
            </a:fillRef>
            <a:effectRef idx="0">
              <a:schemeClr val="dk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en-US" sz="1100">
                  <a:latin typeface="Arial" pitchFamily="34" charset="0"/>
                  <a:cs typeface="Arial" pitchFamily="34" charset="0"/>
                </a:rPr>
                <a:t>1121</a:t>
              </a:r>
            </a:p>
          </xdr:txBody>
        </xdr:sp>
        <xdr:sp macro="" textlink="">
          <xdr:nvSpPr>
            <xdr:cNvPr id="68" name="TextBox 67"/>
            <xdr:cNvSpPr txBox="1"/>
          </xdr:nvSpPr>
          <xdr:spPr>
            <a:xfrm>
              <a:off x="2895544" y="2315892"/>
              <a:ext cx="195200" cy="2286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r>
                <a:rPr lang="en-US" sz="1100"/>
                <a:t>2</a:t>
              </a:r>
            </a:p>
          </xdr:txBody>
        </xdr:sp>
      </xdr:grpSp>
      <xdr:grpSp>
        <xdr:nvGrpSpPr>
          <xdr:cNvPr id="69" name="Group 68"/>
          <xdr:cNvGrpSpPr/>
        </xdr:nvGrpSpPr>
        <xdr:grpSpPr>
          <a:xfrm>
            <a:off x="3429646" y="9083087"/>
            <a:ext cx="195840" cy="227949"/>
            <a:chOff x="2997977" y="2315892"/>
            <a:chExt cx="195200" cy="228600"/>
          </a:xfrm>
        </xdr:grpSpPr>
        <xdr:sp macro="" textlink="">
          <xdr:nvSpPr>
            <xdr:cNvPr id="70" name="Oval 69"/>
            <xdr:cNvSpPr/>
          </xdr:nvSpPr>
          <xdr:spPr>
            <a:xfrm>
              <a:off x="3047441" y="2379785"/>
              <a:ext cx="140677" cy="146538"/>
            </a:xfrm>
            <a:prstGeom prst="ellipse">
              <a:avLst/>
            </a:prstGeom>
            <a:solidFill>
              <a:schemeClr val="bg1">
                <a:alpha val="19000"/>
              </a:schemeClr>
            </a:solidFill>
            <a:ln w="9525"/>
          </xdr:spPr>
          <xdr:style>
            <a:lnRef idx="2">
              <a:schemeClr val="dk1">
                <a:shade val="50000"/>
              </a:schemeClr>
            </a:lnRef>
            <a:fillRef idx="1">
              <a:schemeClr val="dk1"/>
            </a:fillRef>
            <a:effectRef idx="0">
              <a:schemeClr val="dk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en-US" sz="1100">
                  <a:latin typeface="Arial" pitchFamily="34" charset="0"/>
                  <a:cs typeface="Arial" pitchFamily="34" charset="0"/>
                </a:rPr>
                <a:t>1121</a:t>
              </a:r>
            </a:p>
          </xdr:txBody>
        </xdr:sp>
        <xdr:sp macro="" textlink="">
          <xdr:nvSpPr>
            <xdr:cNvPr id="71" name="TextBox 70"/>
            <xdr:cNvSpPr txBox="1"/>
          </xdr:nvSpPr>
          <xdr:spPr>
            <a:xfrm>
              <a:off x="2997977" y="2315892"/>
              <a:ext cx="195200" cy="2286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r>
                <a:rPr lang="en-US" sz="1100"/>
                <a:t>3</a:t>
              </a:r>
            </a:p>
          </xdr:txBody>
        </xdr:sp>
      </xdr:grpSp>
      <xdr:sp macro="" textlink="">
        <xdr:nvSpPr>
          <xdr:cNvPr id="72" name="TextBox 71"/>
          <xdr:cNvSpPr txBox="1"/>
        </xdr:nvSpPr>
        <xdr:spPr>
          <a:xfrm>
            <a:off x="3423803" y="8627241"/>
            <a:ext cx="451085" cy="25455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US" sz="1100" u="sng">
                <a:latin typeface="Arial" pitchFamily="34" charset="0"/>
                <a:cs typeface="Arial" pitchFamily="34" charset="0"/>
              </a:rPr>
              <a:t>AFT</a:t>
            </a:r>
          </a:p>
        </xdr:txBody>
      </xdr:sp>
    </xdr:grpSp>
    <xdr:clientData/>
  </xdr:twoCellAnchor>
  <xdr:twoCellAnchor>
    <xdr:from>
      <xdr:col>11</xdr:col>
      <xdr:colOff>27700</xdr:colOff>
      <xdr:row>33</xdr:row>
      <xdr:rowOff>17517</xdr:rowOff>
    </xdr:from>
    <xdr:to>
      <xdr:col>11</xdr:col>
      <xdr:colOff>166414</xdr:colOff>
      <xdr:row>35</xdr:row>
      <xdr:rowOff>168691</xdr:rowOff>
    </xdr:to>
    <xdr:sp macro="" textlink="">
      <xdr:nvSpPr>
        <xdr:cNvPr id="74" name="Left Brace 73"/>
        <xdr:cNvSpPr/>
      </xdr:nvSpPr>
      <xdr:spPr>
        <a:xfrm>
          <a:off x="6973286" y="7444827"/>
          <a:ext cx="138714" cy="519036"/>
        </a:xfrm>
        <a:prstGeom prst="leftBrace">
          <a:avLst>
            <a:gd name="adj1" fmla="val 20459"/>
            <a:gd name="adj2" fmla="val 48652"/>
          </a:avLst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1424</xdr:colOff>
      <xdr:row>36</xdr:row>
      <xdr:rowOff>17518</xdr:rowOff>
    </xdr:from>
    <xdr:to>
      <xdr:col>11</xdr:col>
      <xdr:colOff>166414</xdr:colOff>
      <xdr:row>39</xdr:row>
      <xdr:rowOff>0</xdr:rowOff>
    </xdr:to>
    <xdr:sp macro="" textlink="">
      <xdr:nvSpPr>
        <xdr:cNvPr id="75" name="Left Brace 74"/>
        <xdr:cNvSpPr/>
      </xdr:nvSpPr>
      <xdr:spPr>
        <a:xfrm>
          <a:off x="6947010" y="8180552"/>
          <a:ext cx="164990" cy="551793"/>
        </a:xfrm>
        <a:prstGeom prst="leftBrace">
          <a:avLst>
            <a:gd name="adj1" fmla="val 20459"/>
            <a:gd name="adj2" fmla="val 48652"/>
          </a:avLst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1424</xdr:colOff>
      <xdr:row>39</xdr:row>
      <xdr:rowOff>8760</xdr:rowOff>
    </xdr:from>
    <xdr:to>
      <xdr:col>11</xdr:col>
      <xdr:colOff>157655</xdr:colOff>
      <xdr:row>41</xdr:row>
      <xdr:rowOff>157656</xdr:rowOff>
    </xdr:to>
    <xdr:sp macro="" textlink="">
      <xdr:nvSpPr>
        <xdr:cNvPr id="76" name="Left Brace 75"/>
        <xdr:cNvSpPr/>
      </xdr:nvSpPr>
      <xdr:spPr>
        <a:xfrm>
          <a:off x="6947010" y="8741105"/>
          <a:ext cx="156231" cy="516758"/>
        </a:xfrm>
        <a:prstGeom prst="leftBrace">
          <a:avLst>
            <a:gd name="adj1" fmla="val 20459"/>
            <a:gd name="adj2" fmla="val 48652"/>
          </a:avLst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667080</xdr:colOff>
      <xdr:row>42</xdr:row>
      <xdr:rowOff>17518</xdr:rowOff>
    </xdr:from>
    <xdr:to>
      <xdr:col>11</xdr:col>
      <xdr:colOff>148897</xdr:colOff>
      <xdr:row>45</xdr:row>
      <xdr:rowOff>0</xdr:rowOff>
    </xdr:to>
    <xdr:sp macro="" textlink="">
      <xdr:nvSpPr>
        <xdr:cNvPr id="77" name="Left Brace 76"/>
        <xdr:cNvSpPr/>
      </xdr:nvSpPr>
      <xdr:spPr>
        <a:xfrm>
          <a:off x="6938252" y="9284139"/>
          <a:ext cx="156231" cy="516758"/>
        </a:xfrm>
        <a:prstGeom prst="leftBrace">
          <a:avLst>
            <a:gd name="adj1" fmla="val 20459"/>
            <a:gd name="adj2" fmla="val 48652"/>
          </a:avLst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220980</xdr:colOff>
          <xdr:row>53</xdr:row>
          <xdr:rowOff>144780</xdr:rowOff>
        </xdr:from>
        <xdr:to>
          <xdr:col>7</xdr:col>
          <xdr:colOff>472440</xdr:colOff>
          <xdr:row>56</xdr:row>
          <xdr:rowOff>152400</xdr:rowOff>
        </xdr:to>
        <xdr:sp macro="" textlink="">
          <xdr:nvSpPr>
            <xdr:cNvPr id="6201" name="Object 57" hidden="1">
              <a:extLst>
                <a:ext uri="{63B3BB69-23CF-44E3-9099-C40C66FF867C}">
                  <a14:compatExt spid="_x0000_s62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10</xdr:col>
      <xdr:colOff>667080</xdr:colOff>
      <xdr:row>46</xdr:row>
      <xdr:rowOff>17518</xdr:rowOff>
    </xdr:from>
    <xdr:to>
      <xdr:col>11</xdr:col>
      <xdr:colOff>148897</xdr:colOff>
      <xdr:row>49</xdr:row>
      <xdr:rowOff>0</xdr:rowOff>
    </xdr:to>
    <xdr:sp macro="" textlink="">
      <xdr:nvSpPr>
        <xdr:cNvPr id="40" name="Left Brace 39"/>
        <xdr:cNvSpPr/>
      </xdr:nvSpPr>
      <xdr:spPr>
        <a:xfrm>
          <a:off x="6938252" y="9249104"/>
          <a:ext cx="156231" cy="516758"/>
        </a:xfrm>
        <a:prstGeom prst="leftBrace">
          <a:avLst>
            <a:gd name="adj1" fmla="val 20459"/>
            <a:gd name="adj2" fmla="val 48652"/>
          </a:avLst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4</xdr:col>
      <xdr:colOff>175173</xdr:colOff>
      <xdr:row>52</xdr:row>
      <xdr:rowOff>17517</xdr:rowOff>
    </xdr:from>
    <xdr:ext cx="3066865" cy="254557"/>
    <xdr:sp macro="" textlink="">
      <xdr:nvSpPr>
        <xdr:cNvPr id="4" name="TextBox 3"/>
        <xdr:cNvSpPr txBox="1"/>
      </xdr:nvSpPr>
      <xdr:spPr>
        <a:xfrm>
          <a:off x="2627587" y="10676758"/>
          <a:ext cx="3066865" cy="254557"/>
        </a:xfrm>
        <a:prstGeom prst="rect">
          <a:avLst/>
        </a:prstGeom>
        <a:solidFill>
          <a:srgbClr val="FFFF99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>
              <a:latin typeface="Arial" pitchFamily="34" charset="0"/>
              <a:cs typeface="Arial" pitchFamily="34" charset="0"/>
            </a:rPr>
            <a:t>Quadratic Formula based on: </a:t>
          </a:r>
          <a:r>
            <a:rPr lang="en-US" sz="1100" i="1">
              <a:latin typeface="Arial" pitchFamily="34" charset="0"/>
              <a:cs typeface="Arial" pitchFamily="34" charset="0"/>
            </a:rPr>
            <a:t>aX</a:t>
          </a:r>
          <a:r>
            <a:rPr lang="en-US" sz="1100" baseline="30000">
              <a:latin typeface="Arial" pitchFamily="34" charset="0"/>
              <a:cs typeface="Arial" pitchFamily="34" charset="0"/>
            </a:rPr>
            <a:t>2</a:t>
          </a:r>
          <a:r>
            <a:rPr lang="en-US" sz="1100">
              <a:latin typeface="Arial" pitchFamily="34" charset="0"/>
              <a:cs typeface="Arial" pitchFamily="34" charset="0"/>
            </a:rPr>
            <a:t> + </a:t>
          </a:r>
          <a:r>
            <a:rPr lang="en-US" sz="1100" i="1">
              <a:latin typeface="Arial" pitchFamily="34" charset="0"/>
              <a:cs typeface="Arial" pitchFamily="34" charset="0"/>
            </a:rPr>
            <a:t>bX</a:t>
          </a:r>
          <a:r>
            <a:rPr lang="en-US" sz="1100">
              <a:latin typeface="Arial" pitchFamily="34" charset="0"/>
              <a:cs typeface="Arial" pitchFamily="34" charset="0"/>
            </a:rPr>
            <a:t> + </a:t>
          </a:r>
          <a:r>
            <a:rPr lang="en-US" sz="1100" i="1">
              <a:latin typeface="Arial" pitchFamily="34" charset="0"/>
              <a:cs typeface="Arial" pitchFamily="34" charset="0"/>
            </a:rPr>
            <a:t>c</a:t>
          </a:r>
          <a:r>
            <a:rPr lang="en-US" sz="1100">
              <a:latin typeface="Arial" pitchFamily="34" charset="0"/>
              <a:cs typeface="Arial" pitchFamily="34" charset="0"/>
            </a:rPr>
            <a:t> = 0</a:t>
          </a:r>
        </a:p>
      </xdr:txBody>
    </xdr:sp>
    <xdr:clientData/>
  </xdr:oneCellAnchor>
  <xdr:oneCellAnchor>
    <xdr:from>
      <xdr:col>1</xdr:col>
      <xdr:colOff>530541</xdr:colOff>
      <xdr:row>41</xdr:row>
      <xdr:rowOff>42456</xdr:rowOff>
    </xdr:from>
    <xdr:ext cx="1557158" cy="254557"/>
    <xdr:sp macro="" textlink="">
      <xdr:nvSpPr>
        <xdr:cNvPr id="46" name="TextBox 45"/>
        <xdr:cNvSpPr txBox="1"/>
      </xdr:nvSpPr>
      <xdr:spPr>
        <a:xfrm>
          <a:off x="1334105" y="8479874"/>
          <a:ext cx="1557158" cy="254557"/>
        </a:xfrm>
        <a:prstGeom prst="rect">
          <a:avLst/>
        </a:prstGeom>
        <a:solidFill>
          <a:srgbClr val="FFFF99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>
              <a:latin typeface="Arial" pitchFamily="34" charset="0"/>
              <a:cs typeface="Arial" pitchFamily="34" charset="0"/>
            </a:rPr>
            <a:t>Calculational Strategy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495300</xdr:colOff>
      <xdr:row>3</xdr:row>
      <xdr:rowOff>29633</xdr:rowOff>
    </xdr:from>
    <xdr:to>
      <xdr:col>9</xdr:col>
      <xdr:colOff>510118</xdr:colOff>
      <xdr:row>26</xdr:row>
      <xdr:rowOff>117628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13</xdr:col>
      <xdr:colOff>400050</xdr:colOff>
      <xdr:row>3</xdr:row>
      <xdr:rowOff>49530</xdr:rowOff>
    </xdr:from>
    <xdr:to>
      <xdr:col>21</xdr:col>
      <xdr:colOff>460588</xdr:colOff>
      <xdr:row>26</xdr:row>
      <xdr:rowOff>129057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2</xdr:col>
      <xdr:colOff>28575</xdr:colOff>
      <xdr:row>37</xdr:row>
      <xdr:rowOff>22225</xdr:rowOff>
    </xdr:from>
    <xdr:to>
      <xdr:col>10</xdr:col>
      <xdr:colOff>552450</xdr:colOff>
      <xdr:row>60</xdr:row>
      <xdr:rowOff>63652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</xdr:row>
          <xdr:rowOff>0</xdr:rowOff>
        </xdr:from>
        <xdr:to>
          <xdr:col>11</xdr:col>
          <xdr:colOff>304800</xdr:colOff>
          <xdr:row>7</xdr:row>
          <xdr:rowOff>121920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rt/My%20Documents/Thermart%20Programs/FlowBal/FB2007/Flowbal3.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rThPrograms-5\2001FR-TH\GaskellXmpl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Art/LOCALS~1/Temp/Temporary%20Directory%201%20for%20FlowBal8.5.1.zip/tests/TestSystems/HXvsRX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wner/My%20Documents/Thermart%20Documents/CombustionProject/Flowbal5.3Nov2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wner/My%20Documents/Thermart%20Documents/CombustionProject/CombustCalculatorforIH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gizli2"/>
      <sheetName val="gizli"/>
      <sheetName val="gizli3"/>
      <sheetName val="gizli4"/>
      <sheetName val="gizli5"/>
      <sheetName val="Main-db"/>
      <sheetName val="Mixer"/>
      <sheetName val="CarBurn (2)"/>
      <sheetName val="SiChlor"/>
      <sheetName val="GasDeS"/>
      <sheetName val="GasRfrm"/>
      <sheetName val="GasRfrm (2)"/>
      <sheetName val="OilBurn"/>
      <sheetName val="OilBrn"/>
      <sheetName val="OilBrn (2)"/>
      <sheetName val="OilBrnOKSolv"/>
      <sheetName val="HotBrnGas"/>
      <sheetName val="FeSlfCal"/>
      <sheetName val="FeSlfCalRslts"/>
      <sheetName val="SOxHeat"/>
      <sheetName val="Roaster"/>
      <sheetName val="CarBurnX"/>
      <sheetName val="CarBurn"/>
      <sheetName val="Filter"/>
      <sheetName val="Eleme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>
        <row r="5">
          <cell r="C5">
            <v>227</v>
          </cell>
        </row>
        <row r="26">
          <cell r="C26">
            <v>63.546300000000002</v>
          </cell>
        </row>
        <row r="27">
          <cell r="C27">
            <v>162.5001</v>
          </cell>
        </row>
        <row r="28">
          <cell r="C28">
            <v>167.2593</v>
          </cell>
        </row>
        <row r="29">
          <cell r="C29">
            <v>151.9641</v>
          </cell>
        </row>
        <row r="30">
          <cell r="C30">
            <v>18.9984</v>
          </cell>
        </row>
        <row r="31">
          <cell r="C31">
            <v>55.845199999999998</v>
          </cell>
        </row>
        <row r="32">
          <cell r="C32">
            <v>223</v>
          </cell>
        </row>
        <row r="33">
          <cell r="C33">
            <v>69.723100000000002</v>
          </cell>
        </row>
        <row r="34">
          <cell r="C34">
            <v>157.25299999999999</v>
          </cell>
        </row>
        <row r="35">
          <cell r="C35">
            <v>72.641000000000005</v>
          </cell>
        </row>
        <row r="36">
          <cell r="C36">
            <v>1.0079499999999999</v>
          </cell>
        </row>
        <row r="37">
          <cell r="C37">
            <v>4.0026000000000002</v>
          </cell>
        </row>
        <row r="38">
          <cell r="C38">
            <v>178.49199999999999</v>
          </cell>
        </row>
        <row r="39">
          <cell r="C39">
            <v>200.59200000000001</v>
          </cell>
        </row>
        <row r="40">
          <cell r="C40">
            <v>164.93029999999999</v>
          </cell>
        </row>
        <row r="41">
          <cell r="C41">
            <v>126.9045</v>
          </cell>
        </row>
        <row r="42">
          <cell r="C42">
            <v>114.81829999999999</v>
          </cell>
        </row>
        <row r="43">
          <cell r="C43">
            <v>192.21729999999999</v>
          </cell>
        </row>
        <row r="44">
          <cell r="C44">
            <v>39.098300000000002</v>
          </cell>
        </row>
        <row r="45">
          <cell r="C45">
            <v>83.798199999999994</v>
          </cell>
        </row>
        <row r="46">
          <cell r="C46">
            <v>138.90549999999999</v>
          </cell>
        </row>
        <row r="47">
          <cell r="C47">
            <v>6.9412000000000003</v>
          </cell>
        </row>
        <row r="48">
          <cell r="C48">
            <v>174.96709999999999</v>
          </cell>
        </row>
        <row r="49">
          <cell r="C49">
            <v>24.305099999999999</v>
          </cell>
        </row>
        <row r="50">
          <cell r="C50">
            <v>54.938099999999999</v>
          </cell>
        </row>
        <row r="51">
          <cell r="C51">
            <v>95.941999999999993</v>
          </cell>
        </row>
        <row r="52">
          <cell r="C52">
            <v>14.0067</v>
          </cell>
        </row>
        <row r="53">
          <cell r="C53">
            <v>22.989799999999999</v>
          </cell>
        </row>
        <row r="54">
          <cell r="C54">
            <v>92.906400000000005</v>
          </cell>
        </row>
        <row r="55">
          <cell r="C55">
            <v>144.24299999999999</v>
          </cell>
        </row>
        <row r="56">
          <cell r="C56">
            <v>20.1798</v>
          </cell>
        </row>
        <row r="57">
          <cell r="C57">
            <v>58.693399999999997</v>
          </cell>
        </row>
        <row r="58">
          <cell r="C58">
            <v>237</v>
          </cell>
        </row>
        <row r="59">
          <cell r="C59">
            <v>15.9994</v>
          </cell>
        </row>
        <row r="60">
          <cell r="C60">
            <v>190.233</v>
          </cell>
        </row>
        <row r="61">
          <cell r="C61">
            <v>30.973800000000001</v>
          </cell>
        </row>
        <row r="62">
          <cell r="C62">
            <v>231.0359</v>
          </cell>
        </row>
        <row r="63">
          <cell r="C63">
            <v>207.21</v>
          </cell>
        </row>
        <row r="64">
          <cell r="C64">
            <v>106.42100000000001</v>
          </cell>
        </row>
        <row r="65">
          <cell r="C65">
            <v>145</v>
          </cell>
        </row>
        <row r="66">
          <cell r="C66">
            <v>209</v>
          </cell>
        </row>
        <row r="67">
          <cell r="C67">
            <v>140.90770000000001</v>
          </cell>
        </row>
        <row r="68">
          <cell r="C68">
            <v>195.07820000000001</v>
          </cell>
        </row>
        <row r="69">
          <cell r="C69">
            <v>244</v>
          </cell>
        </row>
        <row r="70">
          <cell r="C70">
            <v>226</v>
          </cell>
        </row>
        <row r="71">
          <cell r="C71">
            <v>85.467799999999997</v>
          </cell>
        </row>
        <row r="72">
          <cell r="C72">
            <v>186.2071</v>
          </cell>
        </row>
        <row r="73">
          <cell r="C73">
            <v>102.9055</v>
          </cell>
        </row>
        <row r="74">
          <cell r="C74">
            <v>222</v>
          </cell>
        </row>
        <row r="75">
          <cell r="C75">
            <v>101.072</v>
          </cell>
        </row>
        <row r="76">
          <cell r="C76">
            <v>32.0655</v>
          </cell>
        </row>
        <row r="77">
          <cell r="C77">
            <v>121.76009999999999</v>
          </cell>
        </row>
        <row r="78">
          <cell r="C78">
            <v>44.9559</v>
          </cell>
        </row>
        <row r="79">
          <cell r="C79">
            <v>78.962999999999994</v>
          </cell>
        </row>
        <row r="80">
          <cell r="C80">
            <v>28.0855</v>
          </cell>
        </row>
        <row r="81">
          <cell r="C81">
            <v>150.363</v>
          </cell>
        </row>
        <row r="82">
          <cell r="C82">
            <v>118.7107</v>
          </cell>
        </row>
        <row r="83">
          <cell r="C83">
            <v>87.620999999999995</v>
          </cell>
        </row>
        <row r="84">
          <cell r="C84">
            <v>180.9479</v>
          </cell>
        </row>
        <row r="85">
          <cell r="C85">
            <v>158.92529999999999</v>
          </cell>
        </row>
        <row r="86">
          <cell r="C86">
            <v>98</v>
          </cell>
        </row>
        <row r="87">
          <cell r="C87">
            <v>127.60299999999999</v>
          </cell>
        </row>
        <row r="88">
          <cell r="C88">
            <v>232.03809999999999</v>
          </cell>
        </row>
        <row r="89">
          <cell r="C89">
            <v>47.867100000000001</v>
          </cell>
        </row>
        <row r="90">
          <cell r="C90">
            <v>204.38329999999999</v>
          </cell>
        </row>
        <row r="91">
          <cell r="C91">
            <v>168.9342</v>
          </cell>
        </row>
        <row r="92">
          <cell r="C92">
            <v>238.02889999999999</v>
          </cell>
        </row>
        <row r="93">
          <cell r="C93">
            <v>50.941499999999998</v>
          </cell>
        </row>
        <row r="94">
          <cell r="C94">
            <v>183.84100000000001</v>
          </cell>
        </row>
        <row r="96">
          <cell r="C96">
            <v>88.905900000000003</v>
          </cell>
        </row>
        <row r="97">
          <cell r="C97">
            <v>173.04300000000001</v>
          </cell>
        </row>
        <row r="98">
          <cell r="C98">
            <v>65.409400000000005</v>
          </cell>
        </row>
        <row r="99">
          <cell r="C99">
            <v>91.224199999999996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2+O2"/>
      <sheetName val="Air+SO2"/>
      <sheetName val="CH4+CO2"/>
      <sheetName val="CO2+H2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nCond"/>
      <sheetName val="FeSlf"/>
      <sheetName val="CarBrn"/>
      <sheetName val="GasCool"/>
      <sheetName val="GasCool (2)"/>
      <sheetName val="GasCoolRx"/>
    </sheetNames>
    <sheetDataSet>
      <sheetData sheetId="0">
        <row r="1">
          <cell r="A1" t="str">
            <v>ZnCond</v>
          </cell>
        </row>
        <row r="39">
          <cell r="A39" t="str">
            <v>PbCond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gizli"/>
      <sheetName val="gizli2"/>
      <sheetName val="gizli3"/>
      <sheetName val="gizli4"/>
      <sheetName val="gizli5"/>
      <sheetName val="Main-db"/>
      <sheetName val="Sheet2"/>
      <sheetName val="WITest"/>
      <sheetName val="ZnCond"/>
      <sheetName val="Filter"/>
      <sheetName val="Eleme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 and Units panel"/>
      <sheetName val="Combustion Data Input"/>
      <sheetName val="Sheet1"/>
      <sheetName val="MassToVol"/>
      <sheetName val="Calculation Worksheet"/>
      <sheetName val="Results"/>
    </sheetNames>
    <sheetDataSet>
      <sheetData sheetId="0">
        <row r="37">
          <cell r="K37">
            <v>1</v>
          </cell>
          <cell r="N37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mments" Target="../comments2.xml"/><Relationship Id="rId5" Type="http://schemas.openxmlformats.org/officeDocument/2006/relationships/image" Target="../media/image2.emf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3.emf"/><Relationship Id="rId4" Type="http://schemas.openxmlformats.org/officeDocument/2006/relationships/oleObject" Target="../embeddings/oleObject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FF99"/>
  </sheetPr>
  <dimension ref="B1:X73"/>
  <sheetViews>
    <sheetView tabSelected="1" zoomScale="90" zoomScaleNormal="90" workbookViewId="0"/>
  </sheetViews>
  <sheetFormatPr defaultRowHeight="13.2"/>
  <cols>
    <col min="1" max="1" width="3" customWidth="1"/>
    <col min="2" max="2" width="11.44140625" customWidth="1"/>
    <col min="3" max="3" width="8.77734375" customWidth="1"/>
    <col min="4" max="4" width="9.44140625" bestFit="1" customWidth="1"/>
    <col min="5" max="5" width="9.77734375" customWidth="1"/>
    <col min="6" max="6" width="7.33203125" customWidth="1"/>
    <col min="7" max="7" width="7.6640625" customWidth="1"/>
    <col min="8" max="8" width="8" customWidth="1"/>
    <col min="9" max="9" width="9.33203125" customWidth="1"/>
    <col min="10" max="10" width="9.5546875" customWidth="1"/>
    <col min="11" max="11" width="10" customWidth="1"/>
    <col min="13" max="13" width="9.109375" customWidth="1"/>
    <col min="14" max="14" width="9.88671875" customWidth="1"/>
    <col min="15" max="15" width="7" customWidth="1"/>
    <col min="17" max="17" width="9.33203125" customWidth="1"/>
    <col min="18" max="18" width="9.44140625" customWidth="1"/>
  </cols>
  <sheetData>
    <row r="1" spans="2:13" ht="30.6" customHeight="1">
      <c r="B1" s="101" t="s">
        <v>43</v>
      </c>
    </row>
    <row r="2" spans="2:13" ht="15.6">
      <c r="D2" s="201" t="s">
        <v>93</v>
      </c>
      <c r="E2" s="201"/>
      <c r="F2" s="201"/>
      <c r="G2" s="201"/>
    </row>
    <row r="14" spans="2:13">
      <c r="M14" t="s">
        <v>72</v>
      </c>
    </row>
    <row r="15" spans="2:13" ht="13.8" thickBot="1"/>
    <row r="16" spans="2:13" ht="12.75" customHeight="1" thickBot="1">
      <c r="J16" s="72" t="s">
        <v>126</v>
      </c>
      <c r="K16" s="159">
        <v>0</v>
      </c>
    </row>
    <row r="17" spans="3:20" ht="37.200000000000003" customHeight="1">
      <c r="T17" s="10"/>
    </row>
    <row r="18" spans="3:20" ht="17.399999999999999" customHeight="1" thickBot="1">
      <c r="C18" s="197" t="s">
        <v>99</v>
      </c>
      <c r="D18" s="198"/>
      <c r="E18" s="198"/>
      <c r="F18" s="199"/>
      <c r="J18" s="73" t="s">
        <v>66</v>
      </c>
      <c r="K18" s="75"/>
    </row>
    <row r="19" spans="3:20" ht="16.8" thickBot="1">
      <c r="D19" s="119" t="s">
        <v>28</v>
      </c>
      <c r="E19" s="120" t="s">
        <v>94</v>
      </c>
      <c r="G19" s="23"/>
      <c r="J19" s="72" t="s">
        <v>158</v>
      </c>
      <c r="K19" s="102">
        <v>0.21</v>
      </c>
    </row>
    <row r="20" spans="3:20" ht="16.5" customHeight="1" thickBot="1">
      <c r="C20" s="4" t="s">
        <v>2</v>
      </c>
      <c r="D20" s="79" t="s">
        <v>3</v>
      </c>
      <c r="E20" s="195">
        <v>0.96399999999999997</v>
      </c>
      <c r="G20" s="7"/>
      <c r="J20" s="78" t="s">
        <v>138</v>
      </c>
      <c r="K20" s="74">
        <v>1</v>
      </c>
    </row>
    <row r="21" spans="3:20" ht="16.2" thickBot="1">
      <c r="C21" s="4" t="s">
        <v>4</v>
      </c>
      <c r="D21" s="80" t="s">
        <v>5</v>
      </c>
      <c r="E21" s="195">
        <v>1.5E-3</v>
      </c>
      <c r="G21" s="7"/>
      <c r="H21" s="23"/>
      <c r="J21" s="72" t="s">
        <v>127</v>
      </c>
      <c r="K21" s="196">
        <v>25</v>
      </c>
    </row>
    <row r="22" spans="3:20" ht="16.2" thickBot="1">
      <c r="C22" s="4" t="s">
        <v>6</v>
      </c>
      <c r="D22" s="79" t="s">
        <v>7</v>
      </c>
      <c r="E22" s="195">
        <v>3.0000000000000001E-3</v>
      </c>
      <c r="G22" s="7"/>
      <c r="H22" s="5"/>
      <c r="J22" s="72" t="s">
        <v>156</v>
      </c>
      <c r="K22" s="208">
        <f>Calcs!M9</f>
        <v>9.3511904761904745</v>
      </c>
    </row>
    <row r="23" spans="3:20" ht="16.2" thickBot="1">
      <c r="C23" s="4" t="s">
        <v>8</v>
      </c>
      <c r="D23" s="79" t="s">
        <v>9</v>
      </c>
      <c r="E23" s="195">
        <v>2.5000000000000001E-3</v>
      </c>
      <c r="G23" s="7"/>
      <c r="H23" s="5"/>
    </row>
    <row r="24" spans="3:20" ht="16.2" thickBot="1">
      <c r="C24" s="4" t="s">
        <v>26</v>
      </c>
      <c r="D24" s="81" t="s">
        <v>27</v>
      </c>
      <c r="E24" s="195">
        <v>1E-3</v>
      </c>
      <c r="G24" s="7"/>
      <c r="H24" s="5"/>
      <c r="J24" s="72" t="s">
        <v>128</v>
      </c>
      <c r="K24" s="114">
        <v>25</v>
      </c>
    </row>
    <row r="25" spans="3:20" ht="16.2" thickBot="1">
      <c r="C25" s="4" t="s">
        <v>10</v>
      </c>
      <c r="D25" s="82" t="s">
        <v>11</v>
      </c>
      <c r="E25" s="195">
        <v>2E-3</v>
      </c>
      <c r="G25" s="7"/>
      <c r="H25" s="44"/>
      <c r="I25" s="45" t="s">
        <v>97</v>
      </c>
      <c r="J25" s="46"/>
    </row>
    <row r="26" spans="3:20" ht="14.4" thickBot="1">
      <c r="C26" s="4" t="s">
        <v>12</v>
      </c>
      <c r="D26" s="82" t="s">
        <v>13</v>
      </c>
      <c r="E26" s="195">
        <v>1.5E-3</v>
      </c>
      <c r="G26" s="7"/>
      <c r="H26" s="118" t="s">
        <v>98</v>
      </c>
      <c r="I26" s="113" t="s">
        <v>24</v>
      </c>
      <c r="J26" s="113" t="s">
        <v>25</v>
      </c>
      <c r="M26" t="s">
        <v>113</v>
      </c>
    </row>
    <row r="27" spans="3:20" ht="16.2" thickBot="1">
      <c r="C27" s="4" t="s">
        <v>14</v>
      </c>
      <c r="D27" s="82" t="s">
        <v>15</v>
      </c>
      <c r="E27" s="195">
        <v>2E-3</v>
      </c>
      <c r="G27" s="7"/>
      <c r="H27" s="39" t="s">
        <v>20</v>
      </c>
      <c r="I27" s="38">
        <f>E20+2*E21+2*E22+3*E23+4*E24+E26+E27+E31</f>
        <v>0.98799999999999988</v>
      </c>
      <c r="J27" s="38">
        <f>12.01*I27</f>
        <v>11.865879999999999</v>
      </c>
      <c r="K27" s="20"/>
      <c r="M27" t="s">
        <v>159</v>
      </c>
    </row>
    <row r="28" spans="3:20" ht="16.2" thickBot="1">
      <c r="C28" s="4" t="s">
        <v>44</v>
      </c>
      <c r="D28" s="82" t="s">
        <v>45</v>
      </c>
      <c r="E28" s="195">
        <v>0</v>
      </c>
      <c r="G28" s="7"/>
      <c r="H28" s="39" t="s">
        <v>21</v>
      </c>
      <c r="I28" s="39">
        <f>4*E20+4*E21+6*E22+8*E23+10*E24+2*E25+2*E28</f>
        <v>3.9139999999999993</v>
      </c>
      <c r="J28" s="38">
        <f>1.00795*I28</f>
        <v>3.9451162999999987</v>
      </c>
      <c r="M28" t="s">
        <v>114</v>
      </c>
    </row>
    <row r="29" spans="3:20" ht="15.6">
      <c r="C29" s="4" t="s">
        <v>16</v>
      </c>
      <c r="D29" s="83" t="s">
        <v>17</v>
      </c>
      <c r="E29" s="100">
        <f>1 - SUM(E20:E28) - E31</f>
        <v>2.2500000000000187E-2</v>
      </c>
      <c r="H29" s="39" t="s">
        <v>22</v>
      </c>
      <c r="I29" s="38">
        <f>E26+2*E27+E28</f>
        <v>5.4999999999999997E-3</v>
      </c>
      <c r="J29" s="38">
        <f>16*I29</f>
        <v>8.7999999999999995E-2</v>
      </c>
    </row>
    <row r="30" spans="3:20" ht="14.4" thickBot="1">
      <c r="C30" s="4"/>
      <c r="D30" s="109"/>
      <c r="E30" s="71"/>
      <c r="H30" s="39" t="s">
        <v>23</v>
      </c>
      <c r="I30" s="39">
        <f>2*E29</f>
        <v>4.5000000000000373E-2</v>
      </c>
      <c r="J30" s="38">
        <f>14.007*I30</f>
        <v>0.63031500000000518</v>
      </c>
      <c r="Q30" s="73" t="s">
        <v>90</v>
      </c>
      <c r="R30" s="171"/>
    </row>
    <row r="31" spans="3:20" ht="14.4" thickBot="1">
      <c r="C31" s="4" t="s">
        <v>124</v>
      </c>
      <c r="D31" s="166" t="s">
        <v>20</v>
      </c>
      <c r="E31" s="165">
        <v>0</v>
      </c>
      <c r="H31" s="115" t="s">
        <v>46</v>
      </c>
      <c r="I31" s="110">
        <f>SUM(I27:I30)</f>
        <v>4.9524999999999988</v>
      </c>
      <c r="J31" s="110">
        <f>SUM(J27:J30)</f>
        <v>16.529311300000003</v>
      </c>
      <c r="M31" s="20" t="str">
        <f>Calcs!L6</f>
        <v>% XS oxidant</v>
      </c>
      <c r="N31" s="139">
        <f>Calcs!M6</f>
        <v>0</v>
      </c>
      <c r="O31" s="139">
        <f>Calcs!N6</f>
        <v>0.1</v>
      </c>
      <c r="P31" s="139">
        <f>Calcs!O6</f>
        <v>0.2</v>
      </c>
      <c r="Q31" s="169">
        <f>Calcs!P6</f>
        <v>0.4</v>
      </c>
      <c r="R31" s="65">
        <f>Calcs!Q6</f>
        <v>0.6</v>
      </c>
      <c r="S31" s="170">
        <f>Calcs!R6</f>
        <v>0.8</v>
      </c>
      <c r="T31" s="140">
        <f>Calcs!S6</f>
        <v>1</v>
      </c>
    </row>
    <row r="32" spans="3:20">
      <c r="C32" s="4"/>
      <c r="D32" s="12"/>
      <c r="E32" s="13"/>
      <c r="F32" s="71"/>
      <c r="G32" s="22"/>
      <c r="H32" s="5"/>
      <c r="M32" s="10" t="s">
        <v>112</v>
      </c>
      <c r="N32" s="141">
        <f>Calcs!M52</f>
        <v>2050.745192074553</v>
      </c>
      <c r="O32" s="141">
        <f>Calcs!N52</f>
        <v>1914.4329120445632</v>
      </c>
      <c r="P32" s="141">
        <f>Calcs!O52</f>
        <v>1795.4797048391563</v>
      </c>
      <c r="Q32" s="141">
        <f>Calcs!P52</f>
        <v>1598.0068876281978</v>
      </c>
      <c r="R32" s="172">
        <f>Calcs!Q52</f>
        <v>1440.8455414683017</v>
      </c>
      <c r="S32" s="141">
        <f>Calcs!R52</f>
        <v>1312.8752381283284</v>
      </c>
      <c r="T32" s="141">
        <f>Calcs!S52</f>
        <v>1206.6994842299785</v>
      </c>
    </row>
    <row r="33" spans="3:24">
      <c r="C33" s="4"/>
      <c r="D33" s="70"/>
    </row>
    <row r="34" spans="3:24">
      <c r="C34" s="4"/>
    </row>
    <row r="35" spans="3:24" ht="22.8" customHeight="1"/>
    <row r="36" spans="3:24" ht="14.4">
      <c r="C36" s="88"/>
      <c r="D36" s="89"/>
      <c r="E36" s="90" t="s">
        <v>69</v>
      </c>
      <c r="G36" s="89"/>
      <c r="H36" s="91"/>
      <c r="I36" s="91" t="s">
        <v>42</v>
      </c>
      <c r="J36" s="92"/>
      <c r="K36" s="89"/>
      <c r="R36" s="31"/>
      <c r="T36" s="31"/>
      <c r="U36" s="31"/>
      <c r="W36" s="31"/>
    </row>
    <row r="37" spans="3:24" ht="15.6">
      <c r="E37" s="4" t="s">
        <v>157</v>
      </c>
      <c r="G37" s="84"/>
      <c r="H37" s="85" t="s">
        <v>70</v>
      </c>
      <c r="I37" s="86"/>
      <c r="J37" s="3"/>
      <c r="K37" s="20" t="s">
        <v>157</v>
      </c>
      <c r="R37" s="31"/>
      <c r="T37" s="31"/>
      <c r="U37" s="31"/>
      <c r="W37" s="31"/>
    </row>
    <row r="38" spans="3:24" ht="15.6">
      <c r="D38" s="10" t="s">
        <v>3</v>
      </c>
      <c r="E38" s="142">
        <v>-74810</v>
      </c>
      <c r="G38" s="17" t="s">
        <v>32</v>
      </c>
      <c r="K38" s="146">
        <f>2*E47+E46 - E38</f>
        <v>-802327</v>
      </c>
    </row>
    <row r="39" spans="3:24" ht="15.6">
      <c r="D39" s="10" t="s">
        <v>5</v>
      </c>
      <c r="E39" s="142">
        <v>52467</v>
      </c>
      <c r="G39" s="17" t="s">
        <v>33</v>
      </c>
      <c r="I39" s="5"/>
      <c r="K39" s="146">
        <f>2*E47+2*E46 - E39</f>
        <v>-1323113</v>
      </c>
      <c r="P39" s="32"/>
      <c r="Q39" s="32"/>
      <c r="R39" s="32"/>
      <c r="S39" s="32"/>
      <c r="T39" s="32"/>
      <c r="U39" s="32"/>
      <c r="V39" s="32"/>
      <c r="W39" s="32"/>
      <c r="X39" s="32"/>
    </row>
    <row r="40" spans="3:24" ht="15.6">
      <c r="D40" s="10" t="s">
        <v>7</v>
      </c>
      <c r="E40" s="142">
        <v>-84684</v>
      </c>
      <c r="G40" s="17" t="s">
        <v>34</v>
      </c>
      <c r="I40" s="5"/>
      <c r="K40" s="147">
        <f>3*E47+2*E46 - E40</f>
        <v>-1427776</v>
      </c>
    </row>
    <row r="41" spans="3:24" ht="15.6">
      <c r="C41" s="4" t="s">
        <v>65</v>
      </c>
      <c r="D41" s="10" t="s">
        <v>9</v>
      </c>
      <c r="E41" s="142">
        <v>-103847</v>
      </c>
      <c r="G41" s="17" t="s">
        <v>35</v>
      </c>
      <c r="I41" s="5"/>
      <c r="K41" s="147">
        <f>4*E47+3*E46 - E41</f>
        <v>-2043936</v>
      </c>
    </row>
    <row r="42" spans="3:24" ht="15.6">
      <c r="D42" s="10" t="s">
        <v>29</v>
      </c>
      <c r="E42" s="142">
        <v>-126148</v>
      </c>
      <c r="G42" s="17" t="s">
        <v>36</v>
      </c>
      <c r="I42" s="5"/>
      <c r="K42" s="147">
        <f>5*E47+4*E46 - E42</f>
        <v>-2656958</v>
      </c>
    </row>
    <row r="43" spans="3:24" ht="15.6">
      <c r="D43" s="16" t="s">
        <v>11</v>
      </c>
      <c r="E43" s="143">
        <v>0</v>
      </c>
      <c r="G43" s="19" t="s">
        <v>31</v>
      </c>
      <c r="H43" s="18"/>
      <c r="I43" s="5"/>
      <c r="K43" s="146">
        <f>E47</f>
        <v>-241814</v>
      </c>
    </row>
    <row r="44" spans="3:24" ht="15.6">
      <c r="D44" s="10" t="s">
        <v>13</v>
      </c>
      <c r="E44" s="142">
        <v>-110529</v>
      </c>
      <c r="G44" s="17" t="s">
        <v>30</v>
      </c>
      <c r="K44" s="148">
        <f>E46-E44</f>
        <v>-282980</v>
      </c>
    </row>
    <row r="45" spans="3:24">
      <c r="E45" s="144"/>
      <c r="K45" s="149"/>
    </row>
    <row r="46" spans="3:24" ht="15.6">
      <c r="C46" s="4" t="s">
        <v>48</v>
      </c>
      <c r="D46" s="10" t="s">
        <v>15</v>
      </c>
      <c r="E46" s="142">
        <v>-393509</v>
      </c>
      <c r="G46" s="17" t="s">
        <v>96</v>
      </c>
      <c r="K46" s="150">
        <v>-393510</v>
      </c>
    </row>
    <row r="47" spans="3:24" ht="15.6">
      <c r="C47" s="10" t="s">
        <v>47</v>
      </c>
      <c r="D47" s="10" t="s">
        <v>37</v>
      </c>
      <c r="E47" s="142">
        <v>-241814</v>
      </c>
      <c r="K47" s="31"/>
    </row>
    <row r="48" spans="3:24" ht="15.6">
      <c r="D48" s="10" t="s">
        <v>92</v>
      </c>
      <c r="E48" s="145">
        <v>-285830</v>
      </c>
      <c r="G48" s="18" t="s">
        <v>91</v>
      </c>
      <c r="K48" s="148">
        <v>-44020</v>
      </c>
    </row>
    <row r="50" spans="3:7" ht="18.600000000000001" customHeight="1">
      <c r="C50" s="200" t="s">
        <v>78</v>
      </c>
      <c r="D50" s="200"/>
      <c r="E50" s="200"/>
      <c r="F50" s="200"/>
      <c r="G50" s="200"/>
    </row>
    <row r="51" spans="3:7" ht="15.6">
      <c r="C51" s="10" t="s">
        <v>164</v>
      </c>
      <c r="D51" s="10" t="s">
        <v>160</v>
      </c>
      <c r="E51" s="10" t="s">
        <v>161</v>
      </c>
      <c r="F51" s="10" t="s">
        <v>162</v>
      </c>
      <c r="G51" s="10" t="s">
        <v>163</v>
      </c>
    </row>
    <row r="52" spans="3:7">
      <c r="C52" s="10">
        <v>1000.0000000000001</v>
      </c>
      <c r="D52" s="106">
        <v>32370.926670798781</v>
      </c>
      <c r="E52" s="106">
        <v>30594.835044951629</v>
      </c>
      <c r="F52" s="106">
        <v>37719.486716218154</v>
      </c>
      <c r="G52" s="106">
        <v>48623.532258746767</v>
      </c>
    </row>
    <row r="53" spans="3:7">
      <c r="C53" s="10">
        <v>1100</v>
      </c>
      <c r="D53" s="106">
        <v>35977.319742433647</v>
      </c>
      <c r="E53" s="106">
        <v>34009.217565814979</v>
      </c>
      <c r="F53" s="106">
        <v>42222.376060866489</v>
      </c>
      <c r="G53" s="106">
        <v>54346.857434752761</v>
      </c>
    </row>
    <row r="54" spans="3:7">
      <c r="C54" s="10">
        <v>1200</v>
      </c>
      <c r="D54" s="106">
        <v>39613.788344239954</v>
      </c>
      <c r="E54" s="106">
        <v>37459.921956359787</v>
      </c>
      <c r="F54" s="106">
        <v>46831.416197665334</v>
      </c>
      <c r="G54" s="106">
        <v>60135.747562997705</v>
      </c>
    </row>
    <row r="55" spans="3:7">
      <c r="C55" s="10">
        <v>1300</v>
      </c>
      <c r="D55" s="106">
        <v>43277.722873553939</v>
      </c>
      <c r="E55" s="106">
        <v>40943.624979963875</v>
      </c>
      <c r="F55" s="106">
        <v>51541.45768615618</v>
      </c>
      <c r="G55" s="106">
        <v>65981.661394819428</v>
      </c>
    </row>
    <row r="56" spans="3:7">
      <c r="C56" s="10">
        <v>1400</v>
      </c>
      <c r="D56" s="106">
        <v>46967.102975914611</v>
      </c>
      <c r="E56" s="106">
        <v>44457.242257133104</v>
      </c>
      <c r="F56" s="106">
        <v>56347.137047937656</v>
      </c>
      <c r="G56" s="106">
        <v>71877.429002522607</v>
      </c>
    </row>
    <row r="57" spans="3:7">
      <c r="C57" s="10">
        <v>1500</v>
      </c>
      <c r="D57" s="106">
        <v>50680.392185175253</v>
      </c>
      <c r="E57" s="106">
        <v>47997.892475127897</v>
      </c>
      <c r="F57" s="106">
        <v>61242.922712545769</v>
      </c>
      <c r="G57" s="106">
        <v>77816.989969930961</v>
      </c>
    </row>
    <row r="58" spans="3:7">
      <c r="C58" s="10">
        <v>1600</v>
      </c>
      <c r="D58" s="106">
        <v>54416.454749551282</v>
      </c>
      <c r="E58" s="106">
        <v>51562.86705915795</v>
      </c>
      <c r="F58" s="106">
        <v>66223.148986471584</v>
      </c>
      <c r="G58" s="106">
        <v>83795.19169515236</v>
      </c>
    </row>
    <row r="59" spans="3:7">
      <c r="C59" s="10">
        <v>1700</v>
      </c>
      <c r="D59" s="106">
        <v>58174.489455868403</v>
      </c>
      <c r="E59" s="106">
        <v>55149.604760462207</v>
      </c>
      <c r="F59" s="106">
        <v>71282.04165838279</v>
      </c>
      <c r="G59" s="106">
        <v>89807.631990912749</v>
      </c>
    </row>
    <row r="60" spans="3:7">
      <c r="C60" s="10">
        <v>1800</v>
      </c>
      <c r="D60" s="106">
        <v>61953.976542173412</v>
      </c>
      <c r="E60" s="106">
        <v>58755.67045092459</v>
      </c>
      <c r="F60" s="106">
        <v>76413.737630966963</v>
      </c>
      <c r="G60" s="106">
        <v>95850.534783406969</v>
      </c>
    </row>
    <row r="61" spans="3:7">
      <c r="C61" s="10">
        <v>2000</v>
      </c>
      <c r="D61" s="106">
        <v>69576.386351177818</v>
      </c>
      <c r="E61" s="106">
        <v>66016.572640100538</v>
      </c>
      <c r="F61" s="106">
        <v>86871.731115340765</v>
      </c>
      <c r="G61" s="106">
        <v>108015.17785892537</v>
      </c>
    </row>
    <row r="63" spans="3:7" ht="13.8">
      <c r="C63" s="103" t="s">
        <v>89</v>
      </c>
    </row>
    <row r="64" spans="3:7">
      <c r="C64" t="s">
        <v>165</v>
      </c>
    </row>
    <row r="65" spans="3:12">
      <c r="C65" t="s">
        <v>115</v>
      </c>
    </row>
    <row r="69" spans="3:12">
      <c r="K69" s="93"/>
      <c r="L69" s="93"/>
    </row>
    <row r="73" spans="3:12">
      <c r="K73" s="93"/>
      <c r="L73" s="93"/>
    </row>
  </sheetData>
  <mergeCells count="3">
    <mergeCell ref="C18:F18"/>
    <mergeCell ref="C50:G50"/>
    <mergeCell ref="D2:G2"/>
  </mergeCells>
  <pageMargins left="0.7" right="0.7" top="0.75" bottom="0.75" header="0.3" footer="0.3"/>
  <pageSetup orientation="portrait" horizontalDpi="300" verticalDpi="300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4116" r:id="rId4">
          <objectPr defaultSize="0" autoPict="0" r:id="rId5">
            <anchor moveWithCells="1">
              <from>
                <xdr:col>0</xdr:col>
                <xdr:colOff>76200</xdr:colOff>
                <xdr:row>6</xdr:row>
                <xdr:rowOff>121920</xdr:rowOff>
              </from>
              <to>
                <xdr:col>2</xdr:col>
                <xdr:colOff>0</xdr:colOff>
                <xdr:row>10</xdr:row>
                <xdr:rowOff>144780</xdr:rowOff>
              </to>
            </anchor>
          </objectPr>
        </oleObject>
      </mc:Choice>
      <mc:Fallback>
        <oleObject progId="Word.Document.8" dvAspect="DVASPECT_ICON" shapeId="411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Y63"/>
  <sheetViews>
    <sheetView zoomScale="87" zoomScaleNormal="87" workbookViewId="0"/>
  </sheetViews>
  <sheetFormatPr defaultRowHeight="13.2"/>
  <cols>
    <col min="1" max="1" width="11.6640625" customWidth="1"/>
    <col min="3" max="3" width="8" customWidth="1"/>
    <col min="4" max="4" width="6.77734375" customWidth="1"/>
    <col min="5" max="5" width="10" customWidth="1"/>
    <col min="6" max="6" width="8.109375" customWidth="1"/>
    <col min="7" max="7" width="9.33203125" bestFit="1" customWidth="1"/>
    <col min="8" max="8" width="9" bestFit="1" customWidth="1"/>
    <col min="9" max="9" width="9.44140625" bestFit="1" customWidth="1"/>
    <col min="10" max="10" width="9.88671875" customWidth="1"/>
    <col min="11" max="11" width="9.77734375" customWidth="1"/>
    <col min="12" max="12" width="10.109375" customWidth="1"/>
    <col min="13" max="13" width="10.88671875" bestFit="1" customWidth="1"/>
    <col min="14" max="14" width="10.33203125" customWidth="1"/>
    <col min="15" max="19" width="10.109375" bestFit="1" customWidth="1"/>
  </cols>
  <sheetData>
    <row r="1" spans="2:51" ht="17.399999999999999" customHeight="1">
      <c r="B1" s="108" t="s">
        <v>93</v>
      </c>
      <c r="C1" s="107"/>
      <c r="D1" s="107"/>
    </row>
    <row r="2" spans="2:51" ht="74.400000000000006" customHeight="1"/>
    <row r="3" spans="2:51" ht="15.6" customHeight="1">
      <c r="L3" s="96"/>
      <c r="M3" s="98"/>
      <c r="N3" s="97" t="s">
        <v>88</v>
      </c>
      <c r="O3" s="98"/>
      <c r="P3" s="98"/>
      <c r="Q3" s="98"/>
      <c r="R3" s="98"/>
      <c r="S3" s="99"/>
      <c r="U3" s="47"/>
    </row>
    <row r="4" spans="2:51" ht="13.8" thickBot="1">
      <c r="B4" s="162" t="s">
        <v>119</v>
      </c>
      <c r="K4" s="36"/>
      <c r="L4" s="36"/>
      <c r="M4" s="36"/>
      <c r="N4" s="10"/>
      <c r="O4" s="36"/>
      <c r="P4" s="49"/>
      <c r="Q4" s="36"/>
      <c r="R4" s="36"/>
      <c r="S4" s="36"/>
    </row>
    <row r="5" spans="2:51" ht="13.8" customHeight="1" thickBot="1">
      <c r="B5" s="87"/>
      <c r="C5" t="s">
        <v>130</v>
      </c>
      <c r="E5" s="27"/>
      <c r="F5" s="27"/>
      <c r="G5" s="27"/>
      <c r="H5" s="27"/>
      <c r="I5" s="27"/>
      <c r="J5" s="36"/>
      <c r="L5" s="4" t="s">
        <v>49</v>
      </c>
      <c r="M5" s="87">
        <f>'MainEntry&amp;Data'!K19</f>
        <v>0.21</v>
      </c>
      <c r="N5" s="59"/>
      <c r="O5" s="61"/>
      <c r="P5" s="61"/>
      <c r="Q5" s="61"/>
    </row>
    <row r="6" spans="2:51" s="36" customFormat="1" ht="15" customHeight="1" thickBot="1">
      <c r="B6"/>
      <c r="C6"/>
      <c r="D6"/>
      <c r="E6" s="33"/>
      <c r="F6" s="45" t="s">
        <v>95</v>
      </c>
      <c r="G6" s="33"/>
      <c r="H6" s="40"/>
      <c r="K6"/>
      <c r="L6" s="20" t="s">
        <v>87</v>
      </c>
      <c r="M6" s="65">
        <v>0</v>
      </c>
      <c r="N6" s="65">
        <f>S6*0.1</f>
        <v>0.1</v>
      </c>
      <c r="O6" s="65">
        <f>S6*0.2</f>
        <v>0.2</v>
      </c>
      <c r="P6" s="65">
        <f>S6*0.4</f>
        <v>0.4</v>
      </c>
      <c r="Q6" s="65">
        <f>S6*0.6</f>
        <v>0.6</v>
      </c>
      <c r="R6" s="65">
        <f>S6*0.8</f>
        <v>0.8</v>
      </c>
      <c r="S6" s="94">
        <f>'MainEntry&amp;Data'!K20</f>
        <v>1</v>
      </c>
    </row>
    <row r="7" spans="2:51" s="36" customFormat="1" ht="14.4" thickBot="1">
      <c r="B7"/>
      <c r="C7" s="23" t="s">
        <v>28</v>
      </c>
      <c r="D7" s="23" t="s">
        <v>122</v>
      </c>
      <c r="E7" s="23" t="s">
        <v>0</v>
      </c>
      <c r="F7" s="21" t="s">
        <v>19</v>
      </c>
      <c r="G7" s="23" t="s">
        <v>38</v>
      </c>
      <c r="H7" s="23" t="s">
        <v>1</v>
      </c>
      <c r="I7" s="23" t="s">
        <v>39</v>
      </c>
      <c r="K7"/>
      <c r="L7"/>
      <c r="M7"/>
      <c r="N7"/>
      <c r="O7"/>
      <c r="P7"/>
      <c r="Q7"/>
      <c r="R7"/>
      <c r="S7"/>
    </row>
    <row r="8" spans="2:51" s="36" customFormat="1" ht="16.2" thickBot="1">
      <c r="B8" s="4" t="s">
        <v>2</v>
      </c>
      <c r="C8" s="3" t="s">
        <v>3</v>
      </c>
      <c r="D8" s="10">
        <v>36</v>
      </c>
      <c r="E8" s="5">
        <v>16.042999999999999</v>
      </c>
      <c r="F8" s="87">
        <f>'MainEntry&amp;Data'!E20</f>
        <v>0.96399999999999997</v>
      </c>
      <c r="G8" s="5">
        <f>E8*F8</f>
        <v>15.465451999999999</v>
      </c>
      <c r="H8" s="6">
        <f t="shared" ref="H8:H18" si="0">G8/$E$21</f>
        <v>0.93557101587097025</v>
      </c>
      <c r="I8" s="135">
        <f>F8*'MainEntry&amp;Data'!K38</f>
        <v>-773443.228</v>
      </c>
      <c r="K8"/>
      <c r="L8" s="20" t="s">
        <v>51</v>
      </c>
      <c r="M8" s="66">
        <f>3*F8 + 4*F9 + 5*F10 + 7*F11 +  9*F12 +  F13 + F14 + F15 + F16 + F17 + F18</f>
        <v>2.9674999999999994</v>
      </c>
      <c r="N8"/>
      <c r="O8"/>
      <c r="P8"/>
      <c r="Q8"/>
      <c r="R8"/>
      <c r="S8"/>
      <c r="AT8" s="4" t="s">
        <v>49</v>
      </c>
      <c r="AU8" s="50">
        <f>'MainEntry&amp;Data'!K19</f>
        <v>0.21</v>
      </c>
      <c r="AV8" s="18"/>
      <c r="AW8" s="10"/>
      <c r="AX8" s="10"/>
      <c r="AY8" s="10"/>
    </row>
    <row r="9" spans="2:51" s="36" customFormat="1" ht="14.1" customHeight="1" thickBot="1">
      <c r="B9" s="4" t="s">
        <v>4</v>
      </c>
      <c r="C9" s="2" t="s">
        <v>5</v>
      </c>
      <c r="D9" s="10">
        <v>43</v>
      </c>
      <c r="E9" s="5">
        <v>28.053999999999998</v>
      </c>
      <c r="F9" s="87">
        <f>'MainEntry&amp;Data'!E21</f>
        <v>1.5E-3</v>
      </c>
      <c r="G9" s="5">
        <f t="shared" ref="G9:G17" si="1">E9*F9</f>
        <v>4.2081E-2</v>
      </c>
      <c r="H9" s="6">
        <f t="shared" si="0"/>
        <v>2.5456587960614599E-3</v>
      </c>
      <c r="I9" s="135">
        <f>F9*'MainEntry&amp;Data'!K39</f>
        <v>-1984.6695</v>
      </c>
      <c r="K9"/>
      <c r="L9" s="20" t="s">
        <v>52</v>
      </c>
      <c r="M9" s="67">
        <f>(2*F8 + 3*F9 + 3.5*F10 + 5*F11  + 6.5*F12 + 0.5*F13 + 0.5*F14 + F18)/M5</f>
        <v>9.3511904761904745</v>
      </c>
      <c r="N9"/>
      <c r="O9"/>
      <c r="P9"/>
      <c r="Q9"/>
      <c r="R9"/>
      <c r="S9" s="48"/>
      <c r="AT9" s="4" t="s">
        <v>50</v>
      </c>
      <c r="AU9" s="51">
        <v>0</v>
      </c>
      <c r="AV9" s="52">
        <f>AY9*0.25</f>
        <v>1.2500000000000001E-2</v>
      </c>
      <c r="AW9" s="52">
        <f>AY9*0.5</f>
        <v>2.5000000000000001E-2</v>
      </c>
      <c r="AX9" s="52">
        <f>AY9*0.75</f>
        <v>3.7500000000000006E-2</v>
      </c>
      <c r="AY9" s="50">
        <v>0.05</v>
      </c>
    </row>
    <row r="10" spans="2:51" s="36" customFormat="1" ht="14.1" customHeight="1" thickBot="1">
      <c r="B10" s="4" t="s">
        <v>6</v>
      </c>
      <c r="C10" s="14" t="s">
        <v>7</v>
      </c>
      <c r="D10" s="10">
        <v>54</v>
      </c>
      <c r="E10" s="9">
        <v>30.07</v>
      </c>
      <c r="F10" s="87">
        <f>'MainEntry&amp;Data'!E22</f>
        <v>3.0000000000000001E-3</v>
      </c>
      <c r="G10" s="5">
        <f t="shared" si="1"/>
        <v>9.0209999999999999E-2</v>
      </c>
      <c r="H10" s="6">
        <f t="shared" si="0"/>
        <v>5.4571868537512018E-3</v>
      </c>
      <c r="I10" s="135">
        <f>F10*'MainEntry&amp;Data'!K40</f>
        <v>-4283.3280000000004</v>
      </c>
      <c r="K10"/>
      <c r="L10" s="20" t="s">
        <v>53</v>
      </c>
      <c r="M10" s="67">
        <f>M9*(1-M5)</f>
        <v>7.3874404761904753</v>
      </c>
      <c r="N10"/>
      <c r="O10"/>
      <c r="P10"/>
      <c r="Q10"/>
      <c r="R10"/>
      <c r="S10"/>
    </row>
    <row r="11" spans="2:51" s="36" customFormat="1" ht="14.1" customHeight="1" thickBot="1">
      <c r="B11" s="4" t="s">
        <v>8</v>
      </c>
      <c r="C11" s="14" t="s">
        <v>9</v>
      </c>
      <c r="D11" s="10">
        <v>75</v>
      </c>
      <c r="E11" s="9">
        <v>44.097000000000001</v>
      </c>
      <c r="F11" s="87">
        <f>'MainEntry&amp;Data'!E23</f>
        <v>2.5000000000000001E-3</v>
      </c>
      <c r="G11" s="5">
        <f t="shared" si="1"/>
        <v>0.11024250000000001</v>
      </c>
      <c r="H11" s="6">
        <f t="shared" si="0"/>
        <v>6.6690380415105515E-3</v>
      </c>
      <c r="I11" s="135">
        <f>F11*'MainEntry&amp;Data'!K41</f>
        <v>-5109.84</v>
      </c>
      <c r="K11"/>
      <c r="L11" s="68" t="s">
        <v>64</v>
      </c>
      <c r="M11" s="67">
        <f>M9*(1+M6)</f>
        <v>9.3511904761904745</v>
      </c>
      <c r="N11" s="67">
        <f t="shared" ref="N11:S11" si="2">$M$9*(1+N6)</f>
        <v>10.286309523809523</v>
      </c>
      <c r="O11" s="67">
        <f t="shared" si="2"/>
        <v>11.22142857142857</v>
      </c>
      <c r="P11" s="67">
        <f t="shared" si="2"/>
        <v>13.091666666666663</v>
      </c>
      <c r="Q11" s="67">
        <f t="shared" si="2"/>
        <v>14.96190476190476</v>
      </c>
      <c r="R11" s="67">
        <f t="shared" si="2"/>
        <v>16.832142857142856</v>
      </c>
      <c r="S11" s="67">
        <f t="shared" si="2"/>
        <v>18.702380952380949</v>
      </c>
      <c r="AT11" s="4" t="s">
        <v>51</v>
      </c>
      <c r="AU11" s="53">
        <f>3*F8 + 4*F9 + 5*F10 + 7*F11 +  9*F12 +  F13 + F14 + F15 + F16 + F17</f>
        <v>2.9674999999999994</v>
      </c>
      <c r="AV11" s="10"/>
      <c r="AW11" s="10"/>
      <c r="AX11" s="10"/>
      <c r="AY11" s="10"/>
    </row>
    <row r="12" spans="2:51" s="36" customFormat="1" ht="14.1" customHeight="1" thickBot="1">
      <c r="B12" s="4" t="s">
        <v>26</v>
      </c>
      <c r="C12" s="15" t="s">
        <v>27</v>
      </c>
      <c r="D12" s="10">
        <v>103</v>
      </c>
      <c r="E12" s="9">
        <v>58.123999999999995</v>
      </c>
      <c r="F12" s="87">
        <f>'MainEntry&amp;Data'!E24</f>
        <v>1E-3</v>
      </c>
      <c r="G12" s="5">
        <f t="shared" si="1"/>
        <v>5.8123999999999995E-2</v>
      </c>
      <c r="H12" s="6">
        <f t="shared" si="0"/>
        <v>3.5161681486247068E-3</v>
      </c>
      <c r="I12" s="135">
        <f>F12*'MainEntry&amp;Data'!K42</f>
        <v>-2656.9580000000001</v>
      </c>
      <c r="K12"/>
      <c r="L12" s="20" t="s">
        <v>54</v>
      </c>
      <c r="M12" s="67">
        <f t="shared" ref="M12:S12" si="3">M11-$M$9</f>
        <v>0</v>
      </c>
      <c r="N12" s="67">
        <f t="shared" si="3"/>
        <v>0.93511904761904852</v>
      </c>
      <c r="O12" s="67">
        <f t="shared" si="3"/>
        <v>1.8702380952380953</v>
      </c>
      <c r="P12" s="67">
        <f t="shared" si="3"/>
        <v>3.7404761904761887</v>
      </c>
      <c r="Q12" s="67">
        <f t="shared" si="3"/>
        <v>5.6107142857142858</v>
      </c>
      <c r="R12" s="67">
        <f t="shared" si="3"/>
        <v>7.480952380952381</v>
      </c>
      <c r="S12" s="67">
        <f t="shared" si="3"/>
        <v>9.3511904761904745</v>
      </c>
      <c r="AR12" s="54"/>
      <c r="AT12" s="4" t="s">
        <v>52</v>
      </c>
      <c r="AU12" s="55">
        <f>(2*F8 + 3*F9 + 3.5*F10 + 5*F11  + 6.5*F12 + 0.5*F13 + 0.5*F14)/AU8</f>
        <v>9.3511904761904745</v>
      </c>
      <c r="AV12" s="37"/>
      <c r="AW12" s="37"/>
      <c r="AX12" s="37"/>
      <c r="AY12" s="37"/>
    </row>
    <row r="13" spans="2:51" s="36" customFormat="1" ht="14.1" customHeight="1" thickBot="1">
      <c r="B13" s="4" t="s">
        <v>10</v>
      </c>
      <c r="C13" s="16" t="s">
        <v>11</v>
      </c>
      <c r="D13" s="10">
        <v>29</v>
      </c>
      <c r="E13" s="9">
        <v>2.016</v>
      </c>
      <c r="F13" s="87">
        <f>'MainEntry&amp;Data'!E25</f>
        <v>2E-3</v>
      </c>
      <c r="G13" s="5">
        <f t="shared" si="1"/>
        <v>4.032E-3</v>
      </c>
      <c r="H13" s="6">
        <f t="shared" si="0"/>
        <v>2.4391284108552094E-4</v>
      </c>
      <c r="I13" s="135">
        <f>F13*'MainEntry&amp;Data'!K43</f>
        <v>-483.62799999999999</v>
      </c>
      <c r="K13"/>
      <c r="L13" s="4" t="s">
        <v>76</v>
      </c>
      <c r="M13" s="173">
        <f t="shared" ref="M13:S13" si="4">$M$5*M12/($M$8 + $M$10 + M12)</f>
        <v>0</v>
      </c>
      <c r="N13" s="173">
        <f t="shared" si="4"/>
        <v>1.7393619545217311E-2</v>
      </c>
      <c r="O13" s="173">
        <f t="shared" si="4"/>
        <v>3.2126320094652432E-2</v>
      </c>
      <c r="P13" s="173">
        <f t="shared" si="4"/>
        <v>5.572733453545773E-2</v>
      </c>
      <c r="Q13" s="173">
        <f t="shared" si="4"/>
        <v>7.3799040350752923E-2</v>
      </c>
      <c r="R13" s="173">
        <f t="shared" si="4"/>
        <v>8.8080816171243789E-2</v>
      </c>
      <c r="S13" s="173">
        <f t="shared" si="4"/>
        <v>9.9651727918855321E-2</v>
      </c>
      <c r="AT13" s="4" t="s">
        <v>53</v>
      </c>
      <c r="AU13" s="55">
        <f>AU12*(1-AU8)</f>
        <v>7.3874404761904753</v>
      </c>
    </row>
    <row r="14" spans="2:51" s="36" customFormat="1" ht="14.1" customHeight="1" thickBot="1">
      <c r="B14" s="4" t="s">
        <v>12</v>
      </c>
      <c r="C14" s="10" t="s">
        <v>13</v>
      </c>
      <c r="D14" s="10">
        <v>30</v>
      </c>
      <c r="E14" s="7">
        <v>28.010999999999999</v>
      </c>
      <c r="F14" s="87">
        <f>'MainEntry&amp;Data'!E26</f>
        <v>1.5E-3</v>
      </c>
      <c r="G14" s="5">
        <f t="shared" si="1"/>
        <v>4.2016499999999998E-2</v>
      </c>
      <c r="H14" s="6">
        <f t="shared" si="0"/>
        <v>2.5417569165351664E-3</v>
      </c>
      <c r="I14" s="135">
        <f>F14*'MainEntry&amp;Data'!K44</f>
        <v>-424.47</v>
      </c>
      <c r="K14"/>
      <c r="L14" s="60" t="s">
        <v>86</v>
      </c>
      <c r="M14" s="63">
        <f t="shared" ref="M14:S14" si="5">$M$8+$M$10+M12</f>
        <v>10.354940476190475</v>
      </c>
      <c r="N14" s="63">
        <f t="shared" si="5"/>
        <v>11.290059523809523</v>
      </c>
      <c r="O14" s="63">
        <f t="shared" si="5"/>
        <v>12.22517857142857</v>
      </c>
      <c r="P14" s="63">
        <f t="shared" si="5"/>
        <v>14.095416666666663</v>
      </c>
      <c r="Q14" s="63">
        <f t="shared" si="5"/>
        <v>15.96565476190476</v>
      </c>
      <c r="R14" s="63">
        <f t="shared" si="5"/>
        <v>17.835892857142856</v>
      </c>
      <c r="S14" s="63">
        <f t="shared" si="5"/>
        <v>19.706130952380949</v>
      </c>
      <c r="AT14" s="4" t="s">
        <v>54</v>
      </c>
      <c r="AU14" s="55">
        <f>AU9*($AU$11+$AU$13)/($AU$8-AU9)</f>
        <v>0</v>
      </c>
      <c r="AV14" s="55">
        <f>AV9*($AU$11+$AU$13)/($AU$8-AV9)</f>
        <v>0.65537597950572635</v>
      </c>
      <c r="AW14" s="55">
        <f>AW9*($AU$11+$AU$13)/($AU$8-AW9)</f>
        <v>1.3993162805662804</v>
      </c>
      <c r="AX14" s="55">
        <f>AX9*($AU$11+$AU$13)/($AU$8-AX9)</f>
        <v>2.2510740165631469</v>
      </c>
      <c r="AY14" s="55">
        <f>AY9*($AU$11+$AU$13)/($AU$8-AY9)</f>
        <v>3.235918898809524</v>
      </c>
    </row>
    <row r="15" spans="2:51" s="36" customFormat="1" ht="14.1" customHeight="1" thickBot="1">
      <c r="B15" s="4" t="s">
        <v>14</v>
      </c>
      <c r="C15" s="10" t="s">
        <v>15</v>
      </c>
      <c r="D15" s="10">
        <v>38</v>
      </c>
      <c r="E15" s="11">
        <v>44.010999999999996</v>
      </c>
      <c r="F15" s="87">
        <f>'MainEntry&amp;Data'!E27</f>
        <v>2E-3</v>
      </c>
      <c r="G15" s="5">
        <f t="shared" si="1"/>
        <v>8.8021999999999989E-2</v>
      </c>
      <c r="H15" s="6">
        <f t="shared" si="0"/>
        <v>5.3248254211383239E-3</v>
      </c>
      <c r="I15" s="10">
        <v>0</v>
      </c>
      <c r="J15"/>
      <c r="K15" s="69"/>
      <c r="L15" s="60" t="s">
        <v>67</v>
      </c>
      <c r="M15" s="63">
        <f t="shared" ref="M15:S15" si="6">M14-$M$20</f>
        <v>8.3979404761904757</v>
      </c>
      <c r="N15" s="63">
        <f t="shared" si="6"/>
        <v>9.3330595238095242</v>
      </c>
      <c r="O15" s="63">
        <f t="shared" si="6"/>
        <v>10.268178571428571</v>
      </c>
      <c r="P15" s="63">
        <f t="shared" si="6"/>
        <v>12.138416666666664</v>
      </c>
      <c r="Q15" s="63">
        <f t="shared" si="6"/>
        <v>14.008654761904761</v>
      </c>
      <c r="R15" s="63">
        <f t="shared" si="6"/>
        <v>15.878892857142857</v>
      </c>
      <c r="S15" s="63">
        <f t="shared" si="6"/>
        <v>17.749130952380948</v>
      </c>
      <c r="AT15" s="4" t="s">
        <v>55</v>
      </c>
      <c r="AU15" s="56">
        <f>AU17/$AU$12</f>
        <v>1</v>
      </c>
      <c r="AV15" s="56">
        <f>AV17/$AU$12</f>
        <v>1.0700847641992119</v>
      </c>
      <c r="AW15" s="56">
        <f>AW17/$AU$12</f>
        <v>1.1496404424793985</v>
      </c>
      <c r="AX15" s="56">
        <f>AX17/$AU$12</f>
        <v>1.2407259292059889</v>
      </c>
      <c r="AY15" s="56">
        <f>AY17/$AU$12</f>
        <v>1.3460435232336092</v>
      </c>
    </row>
    <row r="16" spans="2:51" ht="14.1" customHeight="1" thickBot="1">
      <c r="B16" s="4" t="s">
        <v>44</v>
      </c>
      <c r="C16" s="16" t="s">
        <v>45</v>
      </c>
      <c r="D16" s="61">
        <v>33.6</v>
      </c>
      <c r="E16" s="11">
        <v>18.015999999999998</v>
      </c>
      <c r="F16" s="87">
        <f>'MainEntry&amp;Data'!E28</f>
        <v>0</v>
      </c>
      <c r="G16" s="5">
        <f t="shared" si="1"/>
        <v>0</v>
      </c>
      <c r="H16" s="6">
        <f t="shared" si="0"/>
        <v>0</v>
      </c>
      <c r="I16" s="61">
        <v>0</v>
      </c>
      <c r="L16" s="60" t="s">
        <v>77</v>
      </c>
      <c r="M16" s="122">
        <f t="shared" ref="M16:S16" si="7">$M$5*M12/M15</f>
        <v>0</v>
      </c>
      <c r="N16" s="122">
        <f t="shared" si="7"/>
        <v>2.1040795839673887E-2</v>
      </c>
      <c r="O16" s="122">
        <f t="shared" si="7"/>
        <v>3.8249237415176572E-2</v>
      </c>
      <c r="P16" s="122">
        <f t="shared" si="7"/>
        <v>6.4711899547579638E-2</v>
      </c>
      <c r="Q16" s="122">
        <f t="shared" si="7"/>
        <v>8.410871850480188E-2</v>
      </c>
      <c r="R16" s="122">
        <f t="shared" si="7"/>
        <v>9.8936368809448297E-2</v>
      </c>
      <c r="S16" s="122">
        <f t="shared" si="7"/>
        <v>0.11063921976059191</v>
      </c>
      <c r="AT16" s="20" t="s">
        <v>56</v>
      </c>
      <c r="AU16" s="57">
        <f>AU14/$AU$12</f>
        <v>0</v>
      </c>
      <c r="AV16" s="57">
        <f>AV14/$AU$12</f>
        <v>7.0084764199212002E-2</v>
      </c>
      <c r="AW16" s="57">
        <f>AW14/$AU$12</f>
        <v>0.14964044247939856</v>
      </c>
      <c r="AX16" s="57">
        <f>AX14/$AU$12</f>
        <v>0.24072592920598901</v>
      </c>
      <c r="AY16" s="57">
        <f>AY14/$AU$12</f>
        <v>0.34604352323360926</v>
      </c>
    </row>
    <row r="17" spans="2:51" ht="14.1" customHeight="1" thickBot="1">
      <c r="B17" s="4" t="s">
        <v>16</v>
      </c>
      <c r="C17" s="12" t="s">
        <v>17</v>
      </c>
      <c r="D17" s="61">
        <v>29.1</v>
      </c>
      <c r="E17" s="13">
        <v>28.013999999999999</v>
      </c>
      <c r="F17" s="87">
        <f>'MainEntry&amp;Data'!E29</f>
        <v>2.2500000000000187E-2</v>
      </c>
      <c r="G17" s="5">
        <f t="shared" si="1"/>
        <v>0.63031500000000518</v>
      </c>
      <c r="H17" s="6">
        <f t="shared" si="0"/>
        <v>3.8130437110322768E-2</v>
      </c>
      <c r="I17" s="61">
        <v>0</v>
      </c>
      <c r="L17" s="60" t="s">
        <v>62</v>
      </c>
      <c r="M17" s="5">
        <f>M11*($M$5*$E$19+(1-$M$5)*$E$17)</f>
        <v>269.79175749999996</v>
      </c>
      <c r="N17" s="5">
        <f t="shared" ref="N17:S17" si="8">N11*($M$5*$E$19+(1-$M$5)*$E$17)</f>
        <v>296.77093324999998</v>
      </c>
      <c r="O17" s="5">
        <f t="shared" si="8"/>
        <v>323.75010899999995</v>
      </c>
      <c r="P17" s="5">
        <f t="shared" si="8"/>
        <v>377.70846049999989</v>
      </c>
      <c r="Q17" s="5">
        <f t="shared" si="8"/>
        <v>431.66681199999994</v>
      </c>
      <c r="R17" s="5">
        <f t="shared" si="8"/>
        <v>485.62516349999999</v>
      </c>
      <c r="S17" s="5">
        <f t="shared" si="8"/>
        <v>539.58351499999992</v>
      </c>
      <c r="AT17" s="20" t="s">
        <v>57</v>
      </c>
      <c r="AU17" s="58">
        <f>$AU$12+AU14</f>
        <v>9.3511904761904745</v>
      </c>
      <c r="AV17" s="58">
        <f>$AU$12+AV14</f>
        <v>10.0065664556962</v>
      </c>
      <c r="AW17" s="58">
        <f>$AU$12+AW14</f>
        <v>10.750506756756755</v>
      </c>
      <c r="AX17" s="58">
        <f>$AU$12+AX14</f>
        <v>11.602264492753621</v>
      </c>
      <c r="AY17" s="58">
        <f>$AU$12+AY14</f>
        <v>12.587109374999999</v>
      </c>
    </row>
    <row r="18" spans="2:51" ht="14.1" customHeight="1" thickBot="1">
      <c r="B18" s="4" t="s">
        <v>124</v>
      </c>
      <c r="C18" s="121" t="s">
        <v>20</v>
      </c>
      <c r="D18" s="61">
        <v>10</v>
      </c>
      <c r="E18" s="112">
        <v>12.010999999999999</v>
      </c>
      <c r="F18" s="87">
        <f>'MainEntry&amp;Data'!E31</f>
        <v>0</v>
      </c>
      <c r="G18" s="5">
        <f>E18*F18</f>
        <v>0</v>
      </c>
      <c r="H18" s="6">
        <f t="shared" si="0"/>
        <v>0</v>
      </c>
      <c r="I18" s="135">
        <f>F18*'MainEntry&amp;Data'!K46</f>
        <v>0</v>
      </c>
      <c r="L18" s="60" t="s">
        <v>149</v>
      </c>
      <c r="M18" s="5">
        <f t="shared" ref="M18:S18" si="9">M17/$E$21</f>
        <v>16.320851704682763</v>
      </c>
      <c r="N18" s="5">
        <f t="shared" si="9"/>
        <v>17.952936875151039</v>
      </c>
      <c r="O18" s="5">
        <f t="shared" si="9"/>
        <v>19.585022045619315</v>
      </c>
      <c r="P18" s="5">
        <f t="shared" si="9"/>
        <v>22.849192386555863</v>
      </c>
      <c r="Q18" s="5">
        <f t="shared" si="9"/>
        <v>26.113362727492419</v>
      </c>
      <c r="R18" s="5">
        <f t="shared" si="9"/>
        <v>29.377533068428974</v>
      </c>
      <c r="S18" s="5">
        <f t="shared" si="9"/>
        <v>32.641703409365526</v>
      </c>
      <c r="AT18" s="60" t="s">
        <v>58</v>
      </c>
      <c r="AU18" s="8">
        <f>2*F8+2*F9+3*F10+4*F11+5*F12+F13+F16</f>
        <v>1.9569999999999996</v>
      </c>
      <c r="AW18" s="61"/>
      <c r="AY18" s="62"/>
    </row>
    <row r="19" spans="2:51" ht="14.1" customHeight="1">
      <c r="C19" s="164" t="s">
        <v>79</v>
      </c>
      <c r="D19" s="61">
        <v>29.4</v>
      </c>
      <c r="E19" s="112">
        <v>32</v>
      </c>
      <c r="F19" s="163" t="s">
        <v>123</v>
      </c>
      <c r="AS19" s="48"/>
      <c r="AT19" s="60" t="s">
        <v>59</v>
      </c>
      <c r="AU19" s="63">
        <f>$AU$11+$AU$13+AU14</f>
        <v>10.354940476190475</v>
      </c>
      <c r="AV19" s="63">
        <f>$AU$11+$AU$13+AV14</f>
        <v>11.0103164556962</v>
      </c>
      <c r="AW19" s="63">
        <f>$AU$11+$AU$13+AW14</f>
        <v>11.754256756756755</v>
      </c>
      <c r="AX19" s="63">
        <f>$AU$11+$AU$13+AX14</f>
        <v>12.606014492753621</v>
      </c>
      <c r="AY19" s="63">
        <f>$AU$11+$AU$13+AY14</f>
        <v>13.590859374999999</v>
      </c>
    </row>
    <row r="20" spans="2:51" ht="14.1" customHeight="1">
      <c r="F20" s="33"/>
      <c r="G20" s="34"/>
      <c r="H20" s="35" t="s">
        <v>100</v>
      </c>
      <c r="I20" s="158">
        <f>SUM(I8:I14)+I18</f>
        <v>-788386.12149999989</v>
      </c>
      <c r="L20" s="60" t="s">
        <v>74</v>
      </c>
      <c r="M20" s="138">
        <f>2*F8+2*F9+3*F10+4*F11+5*F12+F13+F16</f>
        <v>1.9569999999999996</v>
      </c>
      <c r="N20" s="37">
        <f t="shared" ref="N20:S20" si="10">$M$20</f>
        <v>1.9569999999999996</v>
      </c>
      <c r="O20" s="37">
        <f t="shared" si="10"/>
        <v>1.9569999999999996</v>
      </c>
      <c r="P20" s="37">
        <f t="shared" si="10"/>
        <v>1.9569999999999996</v>
      </c>
      <c r="Q20" s="37">
        <f t="shared" si="10"/>
        <v>1.9569999999999996</v>
      </c>
      <c r="R20" s="37">
        <f t="shared" si="10"/>
        <v>1.9569999999999996</v>
      </c>
      <c r="S20" s="37">
        <f t="shared" si="10"/>
        <v>1.9569999999999996</v>
      </c>
      <c r="AS20" s="48"/>
      <c r="AT20" s="60" t="s">
        <v>60</v>
      </c>
      <c r="AU20" s="63">
        <f>AU19-$AU$18</f>
        <v>8.3979404761904757</v>
      </c>
      <c r="AV20" s="63">
        <f>AV19-$AU$18</f>
        <v>9.0533164556962014</v>
      </c>
      <c r="AW20" s="63">
        <f>AW19-$AU$18</f>
        <v>9.7972567567567559</v>
      </c>
      <c r="AX20" s="63">
        <f>AX19-$AU$18</f>
        <v>10.649014492753622</v>
      </c>
      <c r="AY20" s="63">
        <f>AY19-$AU$18</f>
        <v>11.633859375</v>
      </c>
    </row>
    <row r="21" spans="2:51" ht="14.1" customHeight="1">
      <c r="D21" s="167" t="s">
        <v>18</v>
      </c>
      <c r="E21" s="168">
        <f>E8*F8+E9*F9+E10*F10+E11*F11+E12*F12+E13*F13+E14*F14+E15*F15+E16*F16+E17*F17+E18*F18</f>
        <v>16.530495000000005</v>
      </c>
      <c r="I21" t="s">
        <v>72</v>
      </c>
      <c r="K21" s="10" t="s">
        <v>82</v>
      </c>
      <c r="L21" s="4" t="s">
        <v>71</v>
      </c>
      <c r="M21" s="37">
        <f>F8+2*F9+2*F10+3*F11+4*F12+F14+F15+F18</f>
        <v>0.98799999999999988</v>
      </c>
      <c r="N21" s="37">
        <f t="shared" ref="N21:S21" si="11">$M$21</f>
        <v>0.98799999999999988</v>
      </c>
      <c r="O21" s="37">
        <f t="shared" si="11"/>
        <v>0.98799999999999988</v>
      </c>
      <c r="P21" s="37">
        <f t="shared" si="11"/>
        <v>0.98799999999999988</v>
      </c>
      <c r="Q21" s="37">
        <f t="shared" si="11"/>
        <v>0.98799999999999988</v>
      </c>
      <c r="R21" s="37">
        <f t="shared" si="11"/>
        <v>0.98799999999999988</v>
      </c>
      <c r="S21" s="37">
        <f t="shared" si="11"/>
        <v>0.98799999999999988</v>
      </c>
      <c r="AS21" s="48"/>
      <c r="AT21" s="60" t="s">
        <v>61</v>
      </c>
      <c r="AU21" s="64">
        <f>$AU$8*AU14/AU20</f>
        <v>0</v>
      </c>
      <c r="AV21" s="64">
        <f>$AU$8*AV14/AV20</f>
        <v>1.5202048483526565E-2</v>
      </c>
      <c r="AW21" s="64">
        <f>$AU$8*AW14/AW20</f>
        <v>2.9993744801702627E-2</v>
      </c>
      <c r="AX21" s="64">
        <f>$AU$8*AX14/AX20</f>
        <v>4.4391482779926564E-2</v>
      </c>
      <c r="AY21" s="64">
        <f>$AU$8*AY14/AY20</f>
        <v>5.8410794461747566E-2</v>
      </c>
    </row>
    <row r="22" spans="2:51" ht="15.6">
      <c r="K22" s="10" t="s">
        <v>83</v>
      </c>
      <c r="L22" s="4" t="s">
        <v>75</v>
      </c>
      <c r="M22" s="5">
        <f t="shared" ref="M22:S22" si="12">$F$17+M11*(1-$M$5)</f>
        <v>7.4099404761904752</v>
      </c>
      <c r="N22" s="5">
        <f t="shared" si="12"/>
        <v>8.1486845238095249</v>
      </c>
      <c r="O22" s="5">
        <f t="shared" si="12"/>
        <v>8.8874285714285719</v>
      </c>
      <c r="P22" s="5">
        <f t="shared" si="12"/>
        <v>10.364916666666666</v>
      </c>
      <c r="Q22" s="5">
        <f t="shared" si="12"/>
        <v>11.842404761904762</v>
      </c>
      <c r="R22" s="5">
        <f t="shared" si="12"/>
        <v>13.319892857142857</v>
      </c>
      <c r="S22" s="5">
        <f t="shared" si="12"/>
        <v>14.797380952380951</v>
      </c>
      <c r="AS22" s="48"/>
      <c r="AT22" s="48"/>
      <c r="AU22" s="48"/>
      <c r="AV22" s="13"/>
      <c r="AW22" s="13"/>
      <c r="AX22" s="13"/>
      <c r="AY22" s="13"/>
    </row>
    <row r="23" spans="2:51" ht="15.6">
      <c r="C23" s="24"/>
      <c r="D23" s="25"/>
      <c r="E23" s="25"/>
      <c r="F23" s="25"/>
      <c r="G23" s="82" t="s">
        <v>24</v>
      </c>
      <c r="H23" s="82" t="s">
        <v>25</v>
      </c>
      <c r="L23" s="4" t="s">
        <v>73</v>
      </c>
      <c r="M23" s="5">
        <f t="shared" ref="M23:S23" si="13">(M11-$M$9)*$M$5</f>
        <v>0</v>
      </c>
      <c r="N23" s="5">
        <f t="shared" si="13"/>
        <v>0.19637500000000019</v>
      </c>
      <c r="O23" s="5">
        <f t="shared" si="13"/>
        <v>0.39274999999999999</v>
      </c>
      <c r="P23" s="5">
        <f t="shared" si="13"/>
        <v>0.78549999999999964</v>
      </c>
      <c r="Q23" s="5">
        <f t="shared" si="13"/>
        <v>1.17825</v>
      </c>
      <c r="R23" s="5">
        <f t="shared" si="13"/>
        <v>1.571</v>
      </c>
      <c r="S23" s="5">
        <f t="shared" si="13"/>
        <v>1.9637499999999997</v>
      </c>
      <c r="AS23" s="48"/>
      <c r="AT23" s="60" t="s">
        <v>62</v>
      </c>
      <c r="AU23" s="13" t="e">
        <f>AU17*($AU$8*#REF!+(1-$AU$8)*$E$17)</f>
        <v>#REF!</v>
      </c>
      <c r="AV23" s="13">
        <f>AV17*($AU$8*$E$17+(1-$AU$8)*$E$14)</f>
        <v>280.30023712737329</v>
      </c>
      <c r="AW23" s="13">
        <f>AW17*($AU$8*$E$17+(1-$AU$8)*$E$14)</f>
        <v>301.13921758277019</v>
      </c>
      <c r="AX23" s="13">
        <f>AX17*($AU$8*$E$17+(1-$AU$8)*$E$14)</f>
        <v>324.99834013315206</v>
      </c>
      <c r="AY23" s="13">
        <f>AY17*($AU$8*$E$17+(1-$AU$8)*$E$14)</f>
        <v>352.58545058203117</v>
      </c>
    </row>
    <row r="24" spans="2:51" ht="15.6">
      <c r="C24" s="26"/>
      <c r="D24" s="27"/>
      <c r="E24" s="27"/>
      <c r="F24" s="28" t="s">
        <v>40</v>
      </c>
      <c r="G24" s="41">
        <f>'MainEntry&amp;Data'!I27-F15</f>
        <v>0.98599999999999988</v>
      </c>
      <c r="H24" s="42">
        <f>G24*E15</f>
        <v>43.394845999999987</v>
      </c>
      <c r="L24" s="20"/>
      <c r="AS24" s="48"/>
      <c r="AT24" s="60" t="s">
        <v>63</v>
      </c>
      <c r="AU24" s="13" t="e">
        <f>AU23/#REF!</f>
        <v>#REF!</v>
      </c>
      <c r="AV24" s="13" t="e">
        <f>AV23/#REF!</f>
        <v>#REF!</v>
      </c>
      <c r="AW24" s="13" t="e">
        <f>AW23/#REF!</f>
        <v>#REF!</v>
      </c>
      <c r="AX24" s="13" t="e">
        <f>AX23/#REF!</f>
        <v>#REF!</v>
      </c>
      <c r="AY24" s="13" t="e">
        <f>AY23/#REF!</f>
        <v>#REF!</v>
      </c>
    </row>
    <row r="25" spans="2:51" ht="15.6">
      <c r="C25" s="26"/>
      <c r="D25" s="43"/>
      <c r="E25" s="27"/>
      <c r="F25" s="29" t="s">
        <v>41</v>
      </c>
      <c r="G25" s="41">
        <f>'MainEntry&amp;Data'!I28/2 - F16</f>
        <v>1.9569999999999996</v>
      </c>
      <c r="H25" s="42">
        <f>G25*E16</f>
        <v>35.257311999999992</v>
      </c>
      <c r="L25" s="60" t="s">
        <v>74</v>
      </c>
      <c r="M25" s="95">
        <f>M20/M14</f>
        <v>0.18899191207325694</v>
      </c>
      <c r="N25" s="95">
        <f t="shared" ref="N25:S25" si="14">N20/N14</f>
        <v>0.1733383243793265</v>
      </c>
      <c r="O25" s="95">
        <f t="shared" si="14"/>
        <v>0.16007946129913381</v>
      </c>
      <c r="P25" s="95">
        <f t="shared" si="14"/>
        <v>0.13883945727038932</v>
      </c>
      <c r="Q25" s="95">
        <f t="shared" si="14"/>
        <v>0.12257561804916058</v>
      </c>
      <c r="R25" s="95">
        <f t="shared" si="14"/>
        <v>0.10972256985813117</v>
      </c>
      <c r="S25" s="95">
        <f t="shared" si="14"/>
        <v>9.9309194926645375E-2</v>
      </c>
    </row>
    <row r="26" spans="2:51" ht="15.6">
      <c r="C26" s="77"/>
      <c r="D26" s="76"/>
      <c r="E26" s="1"/>
      <c r="F26" s="30" t="s">
        <v>68</v>
      </c>
      <c r="G26" s="41">
        <f>G24+G25/2</f>
        <v>1.9644999999999997</v>
      </c>
      <c r="H26" s="42">
        <f>G26*E19</f>
        <v>62.86399999999999</v>
      </c>
      <c r="K26" s="4" t="s">
        <v>84</v>
      </c>
      <c r="L26" s="4" t="s">
        <v>71</v>
      </c>
      <c r="M26" s="95">
        <f>M21/M14</f>
        <v>9.5413392503003513E-2</v>
      </c>
      <c r="N26" s="95">
        <f t="shared" ref="N26:S26" si="15">N21/N14</f>
        <v>8.7510610366261926E-2</v>
      </c>
      <c r="O26" s="95">
        <f t="shared" si="15"/>
        <v>8.0816815413154941E-2</v>
      </c>
      <c r="P26" s="95">
        <f t="shared" si="15"/>
        <v>7.0093706583109178E-2</v>
      </c>
      <c r="Q26" s="95">
        <f t="shared" si="15"/>
        <v>6.1882836296663593E-2</v>
      </c>
      <c r="R26" s="95">
        <f t="shared" si="15"/>
        <v>5.5393918763328359E-2</v>
      </c>
      <c r="S26" s="95">
        <f t="shared" si="15"/>
        <v>5.013668093384039E-2</v>
      </c>
    </row>
    <row r="27" spans="2:51" ht="15.6">
      <c r="K27" s="10" t="s">
        <v>85</v>
      </c>
      <c r="L27" s="4" t="s">
        <v>75</v>
      </c>
      <c r="M27" s="95">
        <f>M22/M14</f>
        <v>0.71559469542373955</v>
      </c>
      <c r="N27" s="95">
        <f t="shared" ref="N27:S27" si="16">N22/N14</f>
        <v>0.72175744570919442</v>
      </c>
      <c r="O27" s="95">
        <f t="shared" si="16"/>
        <v>0.72697740319305892</v>
      </c>
      <c r="P27" s="95">
        <f t="shared" si="16"/>
        <v>0.73533950161104389</v>
      </c>
      <c r="Q27" s="95">
        <f t="shared" si="16"/>
        <v>0.74174250530342301</v>
      </c>
      <c r="R27" s="95">
        <f t="shared" si="16"/>
        <v>0.74680269520729681</v>
      </c>
      <c r="S27" s="95">
        <f t="shared" si="16"/>
        <v>0.75090239622065902</v>
      </c>
    </row>
    <row r="28" spans="2:51" ht="18.600000000000001" customHeight="1">
      <c r="C28" s="116"/>
      <c r="D28" s="104"/>
      <c r="E28" s="104"/>
      <c r="F28" s="105" t="s">
        <v>129</v>
      </c>
      <c r="G28" s="104"/>
      <c r="H28" s="104"/>
      <c r="I28" s="117"/>
      <c r="L28" s="4" t="s">
        <v>73</v>
      </c>
      <c r="M28" s="95">
        <f>M23/M14</f>
        <v>0</v>
      </c>
      <c r="N28" s="95">
        <f t="shared" ref="N28:S28" si="17">N23/N14</f>
        <v>1.7393619545217311E-2</v>
      </c>
      <c r="O28" s="95">
        <f t="shared" si="17"/>
        <v>3.2126320094652432E-2</v>
      </c>
      <c r="P28" s="95">
        <f t="shared" si="17"/>
        <v>5.572733453545773E-2</v>
      </c>
      <c r="Q28" s="95">
        <f t="shared" si="17"/>
        <v>7.3799040350752923E-2</v>
      </c>
      <c r="R28" s="95">
        <f t="shared" si="17"/>
        <v>8.8080816171243789E-2</v>
      </c>
      <c r="S28" s="95">
        <f t="shared" si="17"/>
        <v>9.9651727918855321E-2</v>
      </c>
    </row>
    <row r="29" spans="2:51" ht="15.6">
      <c r="C29" s="202" t="s">
        <v>102</v>
      </c>
      <c r="D29" s="202"/>
      <c r="E29" s="202"/>
      <c r="F29" s="111"/>
      <c r="G29" s="202" t="s">
        <v>103</v>
      </c>
      <c r="H29" s="202"/>
      <c r="I29" s="202"/>
    </row>
    <row r="30" spans="2:51">
      <c r="C30" s="79" t="s">
        <v>80</v>
      </c>
      <c r="D30" s="79" t="s">
        <v>81</v>
      </c>
      <c r="E30" s="81" t="s">
        <v>20</v>
      </c>
      <c r="G30" s="79" t="s">
        <v>80</v>
      </c>
      <c r="H30" s="79" t="s">
        <v>81</v>
      </c>
      <c r="I30" s="81" t="s">
        <v>20</v>
      </c>
      <c r="W30" s="48"/>
      <c r="X30" s="48"/>
    </row>
    <row r="31" spans="2:51" ht="20.399999999999999">
      <c r="C31" s="123">
        <v>-2420</v>
      </c>
      <c r="D31" s="124">
        <v>31.77</v>
      </c>
      <c r="E31" s="125">
        <v>1.2290000000000001E-3</v>
      </c>
      <c r="G31" s="123">
        <v>-2510</v>
      </c>
      <c r="H31" s="124">
        <v>33.700000000000003</v>
      </c>
      <c r="I31" s="125">
        <v>1.173E-3</v>
      </c>
      <c r="L31" s="204" t="s">
        <v>101</v>
      </c>
      <c r="M31" s="205"/>
      <c r="N31" s="205"/>
      <c r="O31" s="205"/>
      <c r="P31" s="205"/>
      <c r="Q31" s="205"/>
      <c r="R31" s="205"/>
      <c r="S31" s="206"/>
    </row>
    <row r="33" spans="3:19" ht="15.6">
      <c r="C33" s="203" t="s">
        <v>105</v>
      </c>
      <c r="D33" s="203"/>
      <c r="E33" s="203"/>
      <c r="F33" s="111"/>
      <c r="G33" s="203" t="s">
        <v>104</v>
      </c>
      <c r="H33" s="203"/>
      <c r="I33" s="203"/>
      <c r="L33" s="4" t="s">
        <v>87</v>
      </c>
      <c r="M33" s="157">
        <f>M6</f>
        <v>0</v>
      </c>
      <c r="N33" s="157">
        <f t="shared" ref="N33:S33" si="18">N6</f>
        <v>0.1</v>
      </c>
      <c r="O33" s="157">
        <f t="shared" si="18"/>
        <v>0.2</v>
      </c>
      <c r="P33" s="157">
        <f t="shared" si="18"/>
        <v>0.4</v>
      </c>
      <c r="Q33" s="157">
        <f t="shared" si="18"/>
        <v>0.6</v>
      </c>
      <c r="R33" s="157">
        <f t="shared" si="18"/>
        <v>0.8</v>
      </c>
      <c r="S33" s="157">
        <f t="shared" si="18"/>
        <v>1</v>
      </c>
    </row>
    <row r="34" spans="3:19" ht="16.8" customHeight="1">
      <c r="C34" s="79" t="s">
        <v>80</v>
      </c>
      <c r="D34" s="79" t="s">
        <v>81</v>
      </c>
      <c r="E34" s="79" t="s">
        <v>20</v>
      </c>
      <c r="G34" s="79" t="s">
        <v>80</v>
      </c>
      <c r="H34" s="79" t="s">
        <v>81</v>
      </c>
      <c r="I34" s="79" t="s">
        <v>20</v>
      </c>
      <c r="L34" s="126" t="s">
        <v>80</v>
      </c>
      <c r="M34" s="151">
        <f t="shared" ref="M34:S34" si="19">M20*$C$35</f>
        <v>-6105.8399999999992</v>
      </c>
      <c r="N34" s="151">
        <f t="shared" si="19"/>
        <v>-6105.8399999999992</v>
      </c>
      <c r="O34" s="151">
        <f t="shared" si="19"/>
        <v>-6105.8399999999992</v>
      </c>
      <c r="P34" s="151">
        <f t="shared" si="19"/>
        <v>-6105.8399999999992</v>
      </c>
      <c r="Q34" s="151">
        <f t="shared" si="19"/>
        <v>-6105.8399999999992</v>
      </c>
      <c r="R34" s="151">
        <f t="shared" si="19"/>
        <v>-6105.8399999999992</v>
      </c>
      <c r="S34" s="151">
        <f t="shared" si="19"/>
        <v>-6105.8399999999992</v>
      </c>
    </row>
    <row r="35" spans="3:19" ht="15.6">
      <c r="C35" s="123">
        <v>-3120</v>
      </c>
      <c r="D35" s="124">
        <v>36.61</v>
      </c>
      <c r="E35" s="125">
        <v>4.2040000000000003E-3</v>
      </c>
      <c r="G35" s="123">
        <v>-6850</v>
      </c>
      <c r="H35" s="124">
        <v>53.43</v>
      </c>
      <c r="I35" s="125">
        <v>2.006E-3</v>
      </c>
      <c r="K35" s="60" t="s">
        <v>74</v>
      </c>
      <c r="L35" s="127" t="s">
        <v>81</v>
      </c>
      <c r="M35" s="152">
        <f t="shared" ref="M35:S35" si="20">M20*$D$35</f>
        <v>71.645769999999985</v>
      </c>
      <c r="N35" s="152">
        <f t="shared" si="20"/>
        <v>71.645769999999985</v>
      </c>
      <c r="O35" s="152">
        <f t="shared" si="20"/>
        <v>71.645769999999985</v>
      </c>
      <c r="P35" s="152">
        <f t="shared" si="20"/>
        <v>71.645769999999985</v>
      </c>
      <c r="Q35" s="152">
        <f t="shared" si="20"/>
        <v>71.645769999999985</v>
      </c>
      <c r="R35" s="152">
        <f t="shared" si="20"/>
        <v>71.645769999999985</v>
      </c>
      <c r="S35" s="152">
        <f t="shared" si="20"/>
        <v>71.645769999999985</v>
      </c>
    </row>
    <row r="36" spans="3:19">
      <c r="L36" s="128" t="s">
        <v>20</v>
      </c>
      <c r="M36" s="153">
        <f t="shared" ref="M36:S36" si="21">M20*$E$35</f>
        <v>8.2272279999999996E-3</v>
      </c>
      <c r="N36" s="153">
        <f t="shared" si="21"/>
        <v>8.2272279999999996E-3</v>
      </c>
      <c r="O36" s="153">
        <f t="shared" si="21"/>
        <v>8.2272279999999996E-3</v>
      </c>
      <c r="P36" s="153">
        <f t="shared" si="21"/>
        <v>8.2272279999999996E-3</v>
      </c>
      <c r="Q36" s="153">
        <f t="shared" si="21"/>
        <v>8.2272279999999996E-3</v>
      </c>
      <c r="R36" s="153">
        <f t="shared" si="21"/>
        <v>8.2272279999999996E-3</v>
      </c>
      <c r="S36" s="153">
        <f t="shared" si="21"/>
        <v>8.2272279999999996E-3</v>
      </c>
    </row>
    <row r="37" spans="3:19">
      <c r="L37" s="126" t="s">
        <v>80</v>
      </c>
      <c r="M37" s="151">
        <f t="shared" ref="M37:S37" si="22">M21*$G$35</f>
        <v>-6767.7999999999993</v>
      </c>
      <c r="N37" s="151">
        <f t="shared" si="22"/>
        <v>-6767.7999999999993</v>
      </c>
      <c r="O37" s="151">
        <f t="shared" si="22"/>
        <v>-6767.7999999999993</v>
      </c>
      <c r="P37" s="151">
        <f t="shared" si="22"/>
        <v>-6767.7999999999993</v>
      </c>
      <c r="Q37" s="151">
        <f t="shared" si="22"/>
        <v>-6767.7999999999993</v>
      </c>
      <c r="R37" s="151">
        <f t="shared" si="22"/>
        <v>-6767.7999999999993</v>
      </c>
      <c r="S37" s="151">
        <f t="shared" si="22"/>
        <v>-6767.7999999999993</v>
      </c>
    </row>
    <row r="38" spans="3:19" ht="15.6">
      <c r="K38" s="4" t="s">
        <v>71</v>
      </c>
      <c r="L38" s="127" t="s">
        <v>81</v>
      </c>
      <c r="M38" s="152">
        <f t="shared" ref="M38:S38" si="23">M21*$H$35</f>
        <v>52.788839999999993</v>
      </c>
      <c r="N38" s="152">
        <f t="shared" si="23"/>
        <v>52.788839999999993</v>
      </c>
      <c r="O38" s="152">
        <f t="shared" si="23"/>
        <v>52.788839999999993</v>
      </c>
      <c r="P38" s="152">
        <f t="shared" si="23"/>
        <v>52.788839999999993</v>
      </c>
      <c r="Q38" s="152">
        <f t="shared" si="23"/>
        <v>52.788839999999993</v>
      </c>
      <c r="R38" s="152">
        <f t="shared" si="23"/>
        <v>52.788839999999993</v>
      </c>
      <c r="S38" s="152">
        <f t="shared" si="23"/>
        <v>52.788839999999993</v>
      </c>
    </row>
    <row r="39" spans="3:19" ht="13.2" customHeight="1" thickBot="1">
      <c r="L39" s="128" t="s">
        <v>20</v>
      </c>
      <c r="M39" s="153">
        <f t="shared" ref="M39:S39" si="24">M21*$I$35</f>
        <v>1.9819279999999996E-3</v>
      </c>
      <c r="N39" s="153">
        <f t="shared" si="24"/>
        <v>1.9819279999999996E-3</v>
      </c>
      <c r="O39" s="153">
        <f t="shared" si="24"/>
        <v>1.9819279999999996E-3</v>
      </c>
      <c r="P39" s="153">
        <f t="shared" si="24"/>
        <v>1.9819279999999996E-3</v>
      </c>
      <c r="Q39" s="153">
        <f t="shared" si="24"/>
        <v>1.9819279999999996E-3</v>
      </c>
      <c r="R39" s="153">
        <f t="shared" si="24"/>
        <v>1.9819279999999996E-3</v>
      </c>
      <c r="S39" s="153">
        <f t="shared" si="24"/>
        <v>1.9819279999999996E-3</v>
      </c>
    </row>
    <row r="40" spans="3:19" ht="13.8" thickBot="1">
      <c r="H40" s="70" t="s">
        <v>126</v>
      </c>
      <c r="I40" s="160">
        <f>'MainEntry&amp;Data'!K16</f>
        <v>0</v>
      </c>
      <c r="J40" s="10"/>
      <c r="K40" s="20"/>
      <c r="L40" s="126" t="s">
        <v>80</v>
      </c>
      <c r="M40" s="151">
        <f t="shared" ref="M40:S40" si="25">M22*$C$31</f>
        <v>-17932.05595238095</v>
      </c>
      <c r="N40" s="151">
        <f t="shared" si="25"/>
        <v>-19719.816547619052</v>
      </c>
      <c r="O40" s="151">
        <f t="shared" si="25"/>
        <v>-21507.577142857142</v>
      </c>
      <c r="P40" s="151">
        <f t="shared" si="25"/>
        <v>-25083.098333333332</v>
      </c>
      <c r="Q40" s="151">
        <f t="shared" si="25"/>
        <v>-28658.619523809524</v>
      </c>
      <c r="R40" s="151">
        <f t="shared" si="25"/>
        <v>-32234.140714285713</v>
      </c>
      <c r="S40" s="151">
        <f t="shared" si="25"/>
        <v>-35809.661904761902</v>
      </c>
    </row>
    <row r="41" spans="3:19" ht="13.8" customHeight="1" thickBot="1">
      <c r="D41" s="10"/>
      <c r="E41" s="16"/>
      <c r="F41" s="12"/>
      <c r="G41" s="10"/>
      <c r="H41" s="70" t="s">
        <v>127</v>
      </c>
      <c r="I41" s="160">
        <f>'MainEntry&amp;Data'!K21</f>
        <v>25</v>
      </c>
      <c r="K41" s="4" t="s">
        <v>75</v>
      </c>
      <c r="L41" s="127" t="s">
        <v>81</v>
      </c>
      <c r="M41" s="152">
        <f t="shared" ref="M41:S41" si="26">M22*$D$31</f>
        <v>235.4138089285714</v>
      </c>
      <c r="N41" s="152">
        <f t="shared" si="26"/>
        <v>258.88370732142863</v>
      </c>
      <c r="O41" s="152">
        <f t="shared" si="26"/>
        <v>282.35360571428572</v>
      </c>
      <c r="P41" s="152">
        <f t="shared" si="26"/>
        <v>329.29340249999996</v>
      </c>
      <c r="Q41" s="152">
        <f t="shared" si="26"/>
        <v>376.23319928571425</v>
      </c>
      <c r="R41" s="152">
        <f t="shared" si="26"/>
        <v>423.1729960714286</v>
      </c>
      <c r="S41" s="152">
        <f t="shared" si="26"/>
        <v>470.11279285714284</v>
      </c>
    </row>
    <row r="42" spans="3:19" ht="13.8" customHeight="1" thickBot="1">
      <c r="H42" s="70" t="s">
        <v>128</v>
      </c>
      <c r="I42" s="160">
        <f>'MainEntry&amp;Data'!K24</f>
        <v>25</v>
      </c>
      <c r="J42" t="s">
        <v>72</v>
      </c>
      <c r="L42" s="128" t="s">
        <v>20</v>
      </c>
      <c r="M42" s="153">
        <f t="shared" ref="M42:S42" si="27">M22*$E$31</f>
        <v>9.106816845238095E-3</v>
      </c>
      <c r="N42" s="153">
        <f t="shared" si="27"/>
        <v>1.0014733279761906E-2</v>
      </c>
      <c r="O42" s="153">
        <f t="shared" si="27"/>
        <v>1.0922649714285715E-2</v>
      </c>
      <c r="P42" s="153">
        <f t="shared" si="27"/>
        <v>1.2738482583333334E-2</v>
      </c>
      <c r="Q42" s="153">
        <f t="shared" si="27"/>
        <v>1.4554315452380952E-2</v>
      </c>
      <c r="R42" s="153">
        <f t="shared" si="27"/>
        <v>1.6370148321428572E-2</v>
      </c>
      <c r="S42" s="153">
        <f t="shared" si="27"/>
        <v>1.8185981190476191E-2</v>
      </c>
    </row>
    <row r="43" spans="3:19">
      <c r="L43" s="126" t="s">
        <v>80</v>
      </c>
      <c r="M43" s="151">
        <f t="shared" ref="M43:S43" si="28">M23*$G$31</f>
        <v>0</v>
      </c>
      <c r="N43" s="151">
        <f t="shared" si="28"/>
        <v>-492.90125000000046</v>
      </c>
      <c r="O43" s="151">
        <f t="shared" si="28"/>
        <v>-985.80250000000001</v>
      </c>
      <c r="P43" s="151">
        <f t="shared" si="28"/>
        <v>-1971.6049999999991</v>
      </c>
      <c r="Q43" s="151">
        <f t="shared" si="28"/>
        <v>-2957.4075000000003</v>
      </c>
      <c r="R43" s="151">
        <f t="shared" si="28"/>
        <v>-3943.21</v>
      </c>
      <c r="S43" s="151">
        <f t="shared" si="28"/>
        <v>-4929.0124999999989</v>
      </c>
    </row>
    <row r="44" spans="3:19" ht="15.6">
      <c r="F44" s="48"/>
      <c r="K44" s="4" t="s">
        <v>73</v>
      </c>
      <c r="L44" s="127" t="s">
        <v>81</v>
      </c>
      <c r="M44" s="155">
        <f t="shared" ref="M44:S44" si="29">M23*$H$31</f>
        <v>0</v>
      </c>
      <c r="N44" s="152">
        <f t="shared" si="29"/>
        <v>6.6178375000000065</v>
      </c>
      <c r="O44" s="152">
        <f t="shared" si="29"/>
        <v>13.235675000000001</v>
      </c>
      <c r="P44" s="152">
        <f t="shared" si="29"/>
        <v>26.47134999999999</v>
      </c>
      <c r="Q44" s="152">
        <f t="shared" si="29"/>
        <v>39.707025000000002</v>
      </c>
      <c r="R44" s="152">
        <f t="shared" si="29"/>
        <v>52.942700000000002</v>
      </c>
      <c r="S44" s="152">
        <f t="shared" si="29"/>
        <v>66.178374999999988</v>
      </c>
    </row>
    <row r="45" spans="3:19">
      <c r="H45" t="s">
        <v>72</v>
      </c>
      <c r="L45" s="129" t="s">
        <v>20</v>
      </c>
      <c r="M45" s="156">
        <f t="shared" ref="M45:S45" si="30">M23*$I$31</f>
        <v>0</v>
      </c>
      <c r="N45" s="154">
        <f t="shared" si="30"/>
        <v>2.3034787500000021E-4</v>
      </c>
      <c r="O45" s="154">
        <f t="shared" si="30"/>
        <v>4.6069574999999999E-4</v>
      </c>
      <c r="P45" s="154">
        <f t="shared" si="30"/>
        <v>9.2139149999999955E-4</v>
      </c>
      <c r="Q45" s="154">
        <f t="shared" si="30"/>
        <v>1.38208725E-3</v>
      </c>
      <c r="R45" s="154">
        <f t="shared" si="30"/>
        <v>1.842783E-3</v>
      </c>
      <c r="S45" s="154">
        <f t="shared" si="30"/>
        <v>2.3034787499999995E-3</v>
      </c>
    </row>
    <row r="46" spans="3:19">
      <c r="M46" s="27"/>
      <c r="N46" s="27"/>
      <c r="O46" s="27"/>
      <c r="P46" s="27"/>
      <c r="Q46" s="27"/>
      <c r="R46" s="27"/>
      <c r="S46" s="27"/>
    </row>
    <row r="47" spans="3:19">
      <c r="C47" t="s">
        <v>116</v>
      </c>
      <c r="L47" s="131" t="s">
        <v>107</v>
      </c>
      <c r="M47" s="151">
        <f>M34+M37+M40+M43 + $I$20 + $I$40 + M50</f>
        <v>-819191.8174523809</v>
      </c>
      <c r="N47" s="151">
        <f t="shared" ref="N47:S47" si="31">N34+N37+N40+N43 + $I$20 + $I$40 + N50</f>
        <v>-821472.47929761896</v>
      </c>
      <c r="O47" s="151">
        <f t="shared" si="31"/>
        <v>-823753.14114285703</v>
      </c>
      <c r="P47" s="151">
        <f t="shared" si="31"/>
        <v>-828314.46483333316</v>
      </c>
      <c r="Q47" s="151">
        <f t="shared" si="31"/>
        <v>-832875.7885238094</v>
      </c>
      <c r="R47" s="151">
        <f t="shared" si="31"/>
        <v>-837437.11221428565</v>
      </c>
      <c r="S47" s="151">
        <f t="shared" si="31"/>
        <v>-841998.43590476178</v>
      </c>
    </row>
    <row r="48" spans="3:19">
      <c r="C48" t="s">
        <v>120</v>
      </c>
      <c r="K48" s="4" t="s">
        <v>110</v>
      </c>
      <c r="L48" s="132" t="s">
        <v>108</v>
      </c>
      <c r="M48" s="152">
        <f>M35+M38+M41+M44</f>
        <v>359.84841892857139</v>
      </c>
      <c r="N48" s="152">
        <f t="shared" ref="N48:S48" si="32">N35+N38+N41+N44</f>
        <v>389.9361548214286</v>
      </c>
      <c r="O48" s="152">
        <f t="shared" si="32"/>
        <v>420.0238907142857</v>
      </c>
      <c r="P48" s="152">
        <f t="shared" si="32"/>
        <v>480.19936249999989</v>
      </c>
      <c r="Q48" s="152">
        <f t="shared" si="32"/>
        <v>540.3748342857142</v>
      </c>
      <c r="R48" s="152">
        <f t="shared" si="32"/>
        <v>600.55030607142862</v>
      </c>
      <c r="S48" s="152">
        <f t="shared" si="32"/>
        <v>660.72577785714282</v>
      </c>
    </row>
    <row r="49" spans="3:19">
      <c r="C49" t="s">
        <v>117</v>
      </c>
      <c r="L49" s="133" t="s">
        <v>106</v>
      </c>
      <c r="M49" s="156">
        <f>M36+M39+M42+M45</f>
        <v>1.9315972845238095E-2</v>
      </c>
      <c r="N49" s="154">
        <f t="shared" ref="N49:S49" si="33">N36+N39+N42+N45</f>
        <v>2.0454237154761905E-2</v>
      </c>
      <c r="O49" s="154">
        <f t="shared" si="33"/>
        <v>2.1592501464285714E-2</v>
      </c>
      <c r="P49" s="154">
        <f t="shared" si="33"/>
        <v>2.3869030083333333E-2</v>
      </c>
      <c r="Q49" s="154">
        <f t="shared" si="33"/>
        <v>2.6145558702380951E-2</v>
      </c>
      <c r="R49" s="154">
        <f t="shared" si="33"/>
        <v>2.842208732142857E-2</v>
      </c>
      <c r="S49" s="154">
        <f t="shared" si="33"/>
        <v>3.0698615940476192E-2</v>
      </c>
    </row>
    <row r="50" spans="3:19" ht="15.6">
      <c r="C50" t="s">
        <v>125</v>
      </c>
      <c r="K50" s="4" t="s">
        <v>121</v>
      </c>
      <c r="L50" s="161"/>
      <c r="M50" s="161">
        <f>-($D$17*(1-$M$5)+$D$19*$M$5)*M11*($I$41-25) - ($D$8*$F$8+$D$9*$F$9+$D$10*$F$10+$D$11*$F$11+$D$12*$F$12+$D$13*$F$13+$D$14*$F$14+$D$15*$F$15+$D$16*$F$16+$D$17*$F$17+$D$18*$F$18)*($I$42-25)</f>
        <v>0</v>
      </c>
      <c r="N50" s="161">
        <f t="shared" ref="N50:R50" si="34">-($D$17*(1-$M$5)+$D$19*$M$5)*N11*($I$41-25) - ($D$8*$F$8+$D$9*$F$9+$D$10*$F$10+$D$11*$F$11+$D$12*$F$12+$D$13*$F$13+$D$14*$F$14+$D$15*$F$15+$D$16*$F$16+$D$17*$F$17+$D$18*$F$18)*($I$42-25)</f>
        <v>0</v>
      </c>
      <c r="O50" s="161">
        <f t="shared" si="34"/>
        <v>0</v>
      </c>
      <c r="P50" s="161">
        <f t="shared" si="34"/>
        <v>0</v>
      </c>
      <c r="Q50" s="161">
        <f t="shared" si="34"/>
        <v>0</v>
      </c>
      <c r="R50" s="161">
        <f t="shared" si="34"/>
        <v>0</v>
      </c>
      <c r="S50" s="161">
        <f>-($D$17*(1-$M$5)+$D$19*$M$5)*S11*($I$41-25) - ($D$8*$F$8+$D$9*$F$9+$D$10*$F$10+$D$11*$F$11+$D$12*$F$12+$D$13*$F$13+$D$14*$F$14+$D$15*$F$15+$D$16*$F$16+$D$17*$F$17+$D$18*$F$18)*($I$42-25)</f>
        <v>0</v>
      </c>
    </row>
    <row r="51" spans="3:19" ht="16.2">
      <c r="C51" s="130" t="s">
        <v>111</v>
      </c>
    </row>
    <row r="52" spans="3:19" ht="13.8">
      <c r="C52" t="s">
        <v>118</v>
      </c>
      <c r="L52" s="136" t="s">
        <v>109</v>
      </c>
      <c r="M52" s="137">
        <f t="shared" ref="M52:S52" si="35">(SQRT(M48^2-4*M49*M47) - M48)/(2*M49)</f>
        <v>2050.745192074553</v>
      </c>
      <c r="N52" s="137">
        <f t="shared" si="35"/>
        <v>1914.4329120445632</v>
      </c>
      <c r="O52" s="137">
        <f t="shared" si="35"/>
        <v>1795.4797048391563</v>
      </c>
      <c r="P52" s="137">
        <f t="shared" si="35"/>
        <v>1598.0068876281978</v>
      </c>
      <c r="Q52" s="137">
        <f t="shared" si="35"/>
        <v>1440.8455414683017</v>
      </c>
      <c r="R52" s="137">
        <f t="shared" si="35"/>
        <v>1312.8752381283284</v>
      </c>
      <c r="S52" s="137">
        <f t="shared" si="35"/>
        <v>1206.6994842299785</v>
      </c>
    </row>
    <row r="53" spans="3:19" ht="13.8">
      <c r="N53" s="134"/>
      <c r="O53" s="106"/>
    </row>
    <row r="55" spans="3:19">
      <c r="N55" s="93"/>
    </row>
    <row r="61" spans="3:19">
      <c r="K61" s="48"/>
      <c r="L61" s="48"/>
      <c r="M61" s="48"/>
      <c r="N61" s="48"/>
      <c r="O61" s="48"/>
      <c r="P61" s="48"/>
      <c r="Q61" s="48"/>
      <c r="R61" s="48"/>
    </row>
    <row r="63" spans="3:19">
      <c r="J63" s="48"/>
    </row>
  </sheetData>
  <mergeCells count="5">
    <mergeCell ref="C29:E29"/>
    <mergeCell ref="G29:I29"/>
    <mergeCell ref="C33:E33"/>
    <mergeCell ref="G33:I33"/>
    <mergeCell ref="L31:S31"/>
  </mergeCells>
  <pageMargins left="0.75" right="0.75" top="1" bottom="1" header="0.5" footer="0.5"/>
  <pageSetup orientation="portrait" horizontalDpi="300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3" shapeId="6201" r:id="rId4">
          <objectPr defaultSize="0" autoPict="0" r:id="rId5">
            <anchor moveWithCells="1" sizeWithCells="1">
              <from>
                <xdr:col>5</xdr:col>
                <xdr:colOff>220980</xdr:colOff>
                <xdr:row>53</xdr:row>
                <xdr:rowOff>144780</xdr:rowOff>
              </from>
              <to>
                <xdr:col>7</xdr:col>
                <xdr:colOff>472440</xdr:colOff>
                <xdr:row>56</xdr:row>
                <xdr:rowOff>152400</xdr:rowOff>
              </to>
            </anchor>
          </objectPr>
        </oleObject>
      </mc:Choice>
      <mc:Fallback>
        <oleObject progId="Equation.3" shapeId="6201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V91"/>
  <sheetViews>
    <sheetView topLeftCell="B1" zoomScale="90" zoomScaleNormal="90" workbookViewId="0">
      <selection activeCell="B1" sqref="B1"/>
    </sheetView>
  </sheetViews>
  <sheetFormatPr defaultRowHeight="13.2"/>
  <cols>
    <col min="8" max="8" width="10" customWidth="1"/>
    <col min="9" max="9" width="9.44140625" customWidth="1"/>
    <col min="18" max="18" width="9.88671875" customWidth="1"/>
  </cols>
  <sheetData>
    <row r="2" spans="5:11" ht="15">
      <c r="E2" s="207" t="s">
        <v>153</v>
      </c>
      <c r="F2" s="207"/>
      <c r="G2" s="207"/>
      <c r="H2" s="207"/>
    </row>
    <row r="3" spans="5:11">
      <c r="K3" s="59" t="s">
        <v>155</v>
      </c>
    </row>
    <row r="28" spans="2:22">
      <c r="B28" t="s">
        <v>150</v>
      </c>
      <c r="O28" t="s">
        <v>151</v>
      </c>
    </row>
    <row r="29" spans="2:22">
      <c r="B29" t="s">
        <v>133</v>
      </c>
      <c r="O29" t="s">
        <v>137</v>
      </c>
    </row>
    <row r="30" spans="2:22" ht="14.4" thickBot="1">
      <c r="B30" t="s">
        <v>114</v>
      </c>
      <c r="R30" s="177" t="s">
        <v>131</v>
      </c>
      <c r="S30" s="171"/>
      <c r="T30" s="180"/>
    </row>
    <row r="31" spans="2:22">
      <c r="O31" s="20" t="s">
        <v>87</v>
      </c>
      <c r="P31" s="139">
        <v>0</v>
      </c>
      <c r="Q31" s="139">
        <v>0.1</v>
      </c>
      <c r="R31" s="169">
        <v>0.2</v>
      </c>
      <c r="S31" s="65">
        <v>0.4</v>
      </c>
      <c r="T31" s="175">
        <v>0.6</v>
      </c>
      <c r="U31" s="170">
        <v>0.8</v>
      </c>
      <c r="V31" s="140">
        <v>1</v>
      </c>
    </row>
    <row r="32" spans="2:22" ht="14.4" thickBot="1">
      <c r="E32" s="181" t="s">
        <v>135</v>
      </c>
      <c r="F32" s="180"/>
      <c r="G32" s="171"/>
      <c r="H32" s="180"/>
      <c r="O32" s="10" t="s">
        <v>112</v>
      </c>
      <c r="P32" s="141">
        <v>2053.032010919907</v>
      </c>
      <c r="Q32" s="141">
        <v>1916.3318036648543</v>
      </c>
      <c r="R32" s="141">
        <v>1797.0659352410923</v>
      </c>
      <c r="S32" s="141">
        <v>1599.1284731379637</v>
      </c>
      <c r="T32" s="172">
        <v>1441.6469300676058</v>
      </c>
      <c r="U32" s="141">
        <v>1313.4490710575444</v>
      </c>
      <c r="V32" s="141">
        <v>1207.1074888657477</v>
      </c>
    </row>
    <row r="33" spans="3:22">
      <c r="C33" s="20" t="s">
        <v>87</v>
      </c>
      <c r="D33" s="139">
        <v>0</v>
      </c>
      <c r="E33" s="139">
        <v>0.1</v>
      </c>
      <c r="F33" s="169">
        <v>0.2</v>
      </c>
      <c r="G33" s="178">
        <v>0.4</v>
      </c>
      <c r="H33" s="175">
        <v>0.6</v>
      </c>
      <c r="I33" s="170">
        <v>0.8</v>
      </c>
      <c r="J33" s="140">
        <v>1</v>
      </c>
    </row>
    <row r="34" spans="3:22" ht="14.4" thickBot="1">
      <c r="C34" s="10" t="s">
        <v>112</v>
      </c>
      <c r="D34" s="141">
        <v>2060.7144071555913</v>
      </c>
      <c r="E34" s="141">
        <v>1924.2928159536029</v>
      </c>
      <c r="F34" s="174">
        <v>1805.2706825545101</v>
      </c>
      <c r="G34" s="179">
        <v>1607.7387585288798</v>
      </c>
      <c r="H34" s="176">
        <v>1450.5804713697175</v>
      </c>
      <c r="I34" s="141">
        <v>1322.6459351763633</v>
      </c>
      <c r="J34" s="141">
        <v>1216.5227748298828</v>
      </c>
      <c r="R34" s="73" t="s">
        <v>132</v>
      </c>
      <c r="S34" s="171"/>
      <c r="T34" s="180"/>
    </row>
    <row r="35" spans="3:22">
      <c r="O35" s="20" t="s">
        <v>87</v>
      </c>
      <c r="P35" s="139">
        <v>0</v>
      </c>
      <c r="Q35" s="139">
        <v>0.1</v>
      </c>
      <c r="R35" s="139">
        <v>0.2</v>
      </c>
      <c r="S35" s="169">
        <v>0.4</v>
      </c>
      <c r="T35" s="65">
        <v>0.6</v>
      </c>
      <c r="U35" s="170">
        <v>0.8</v>
      </c>
      <c r="V35" s="140">
        <v>1</v>
      </c>
    </row>
    <row r="36" spans="3:22">
      <c r="O36" s="10" t="s">
        <v>112</v>
      </c>
      <c r="P36" s="141">
        <v>2105.8683991519979</v>
      </c>
      <c r="Q36" s="141">
        <v>1963.9349081084624</v>
      </c>
      <c r="R36" s="141">
        <v>1840.3325737141213</v>
      </c>
      <c r="S36" s="141">
        <v>1635.6515129391366</v>
      </c>
      <c r="T36" s="172">
        <v>1473.1909109222447</v>
      </c>
      <c r="U36" s="141">
        <v>1341.1801501300249</v>
      </c>
      <c r="V36" s="141">
        <v>1231.8322538973755</v>
      </c>
    </row>
    <row r="38" spans="3:22" ht="14.4" thickBot="1">
      <c r="R38" s="73" t="s">
        <v>134</v>
      </c>
      <c r="S38" s="171"/>
      <c r="T38" s="180"/>
    </row>
    <row r="39" spans="3:22">
      <c r="O39" s="20" t="s">
        <v>87</v>
      </c>
      <c r="P39" s="139">
        <v>0</v>
      </c>
      <c r="Q39" s="139">
        <v>0.1</v>
      </c>
      <c r="R39" s="139">
        <v>0.2</v>
      </c>
      <c r="S39" s="169">
        <v>0.4</v>
      </c>
      <c r="T39" s="65">
        <v>0.6</v>
      </c>
      <c r="U39" s="170">
        <v>0.8</v>
      </c>
      <c r="V39" s="140">
        <v>1</v>
      </c>
    </row>
    <row r="40" spans="3:22">
      <c r="O40" s="10" t="s">
        <v>112</v>
      </c>
      <c r="P40" s="141">
        <v>2118.9346926816074</v>
      </c>
      <c r="Q40" s="141">
        <v>1975.374825869377</v>
      </c>
      <c r="R40" s="141">
        <v>1850.4594373367208</v>
      </c>
      <c r="S40" s="141">
        <v>1643.8076815821157</v>
      </c>
      <c r="T40" s="172">
        <v>1479.9561560356685</v>
      </c>
      <c r="U40" s="141">
        <v>1346.9228688007227</v>
      </c>
      <c r="V40" s="141">
        <v>1236.7981077599745</v>
      </c>
    </row>
    <row r="42" spans="3:22" ht="14.4" thickBot="1">
      <c r="R42" s="73" t="s">
        <v>136</v>
      </c>
      <c r="S42" s="171"/>
      <c r="T42" s="180"/>
    </row>
    <row r="43" spans="3:22">
      <c r="O43" s="20" t="s">
        <v>87</v>
      </c>
      <c r="P43" s="139">
        <v>0</v>
      </c>
      <c r="Q43" s="139">
        <v>0.1</v>
      </c>
      <c r="R43" s="139">
        <v>0.2</v>
      </c>
      <c r="S43" s="169">
        <v>0.4</v>
      </c>
      <c r="T43" s="65">
        <v>0.6</v>
      </c>
      <c r="U43" s="170">
        <v>0.8</v>
      </c>
      <c r="V43" s="140">
        <v>1</v>
      </c>
    </row>
    <row r="44" spans="3:22">
      <c r="O44" s="10" t="s">
        <v>112</v>
      </c>
      <c r="P44" s="141">
        <v>2184.6397844213752</v>
      </c>
      <c r="Q44" s="141">
        <v>2024.1835348111895</v>
      </c>
      <c r="R44" s="141">
        <v>1886.4883196730905</v>
      </c>
      <c r="S44" s="141">
        <v>1662.3764482587108</v>
      </c>
      <c r="T44" s="172">
        <v>1487.7256000467733</v>
      </c>
      <c r="U44" s="141">
        <v>1347.7662762451221</v>
      </c>
      <c r="V44" s="141">
        <v>1233.0835989660891</v>
      </c>
    </row>
    <row r="46" spans="3:22" ht="14.4" thickBot="1">
      <c r="R46" s="183" t="s">
        <v>139</v>
      </c>
      <c r="S46" s="171"/>
      <c r="T46" s="182"/>
    </row>
    <row r="47" spans="3:22">
      <c r="O47" s="20" t="s">
        <v>87</v>
      </c>
      <c r="P47" s="139">
        <v>0</v>
      </c>
      <c r="Q47" s="139">
        <v>0.1</v>
      </c>
      <c r="R47" s="139">
        <v>0.2</v>
      </c>
      <c r="S47" s="169">
        <v>0.4</v>
      </c>
      <c r="T47" s="65">
        <v>0.6</v>
      </c>
      <c r="U47" s="170">
        <v>0.8</v>
      </c>
      <c r="V47" s="140">
        <v>1</v>
      </c>
    </row>
    <row r="48" spans="3:22">
      <c r="O48" s="10" t="s">
        <v>112</v>
      </c>
      <c r="P48" s="141">
        <v>2247.3943425511734</v>
      </c>
      <c r="Q48" s="141">
        <v>2112.0137589724445</v>
      </c>
      <c r="R48" s="141">
        <v>1992.0516308394258</v>
      </c>
      <c r="S48" s="141">
        <v>1789.1430389602851</v>
      </c>
      <c r="T48" s="172">
        <v>1624.3042053534466</v>
      </c>
      <c r="U48" s="141">
        <v>1487.900938224594</v>
      </c>
      <c r="V48" s="141">
        <v>1373.2553647443808</v>
      </c>
    </row>
    <row r="50" spans="3:22" ht="14.4" thickBot="1">
      <c r="R50" s="73" t="s">
        <v>140</v>
      </c>
      <c r="S50" s="73"/>
      <c r="T50" s="171"/>
      <c r="U50" s="180"/>
    </row>
    <row r="51" spans="3:22">
      <c r="O51" s="20" t="s">
        <v>87</v>
      </c>
      <c r="P51" s="139">
        <v>0</v>
      </c>
      <c r="Q51" s="139">
        <v>0.1</v>
      </c>
      <c r="R51" s="139">
        <v>0.2</v>
      </c>
      <c r="S51" s="169">
        <v>0.4</v>
      </c>
      <c r="T51" s="65">
        <v>0.6</v>
      </c>
      <c r="U51" s="170">
        <v>0.8</v>
      </c>
      <c r="V51" s="140">
        <v>1</v>
      </c>
    </row>
    <row r="52" spans="3:22">
      <c r="O52" s="10" t="s">
        <v>112</v>
      </c>
      <c r="P52" s="141">
        <v>2384.0198056169597</v>
      </c>
      <c r="Q52" s="141">
        <v>2248.0761370086116</v>
      </c>
      <c r="R52" s="141">
        <v>2127.3186258485357</v>
      </c>
      <c r="S52" s="141">
        <v>1922.176545225162</v>
      </c>
      <c r="T52" s="172">
        <v>1754.4389971594519</v>
      </c>
      <c r="U52" s="141">
        <v>1614.7083994468369</v>
      </c>
      <c r="V52" s="141">
        <v>1496.4974895450996</v>
      </c>
    </row>
    <row r="55" spans="3:22">
      <c r="N55" s="62"/>
    </row>
    <row r="56" spans="3:22">
      <c r="N56" s="184"/>
    </row>
    <row r="57" spans="3:22">
      <c r="N57" s="62"/>
    </row>
    <row r="58" spans="3:22">
      <c r="N58" s="62"/>
    </row>
    <row r="59" spans="3:22">
      <c r="N59" s="62"/>
    </row>
    <row r="60" spans="3:22">
      <c r="N60" s="62"/>
    </row>
    <row r="61" spans="3:22">
      <c r="N61" s="62"/>
    </row>
    <row r="62" spans="3:22" ht="15.6">
      <c r="C62" t="s">
        <v>166</v>
      </c>
      <c r="N62" s="62"/>
    </row>
    <row r="63" spans="3:22">
      <c r="C63" t="s">
        <v>152</v>
      </c>
      <c r="N63" s="62"/>
    </row>
    <row r="64" spans="3:22" ht="15.6">
      <c r="C64" t="s">
        <v>154</v>
      </c>
      <c r="N64" s="62"/>
    </row>
    <row r="65" spans="3:14">
      <c r="N65" s="62"/>
    </row>
    <row r="66" spans="3:14" ht="13.8">
      <c r="G66" s="177" t="s">
        <v>131</v>
      </c>
      <c r="H66" s="171"/>
      <c r="I66" s="180"/>
      <c r="N66" s="62"/>
    </row>
    <row r="67" spans="3:14">
      <c r="C67" s="20" t="s">
        <v>87</v>
      </c>
      <c r="D67" s="139">
        <v>0</v>
      </c>
      <c r="E67" s="139">
        <v>0.1</v>
      </c>
      <c r="F67" s="139">
        <v>0.2</v>
      </c>
      <c r="G67" s="139">
        <v>0.3</v>
      </c>
      <c r="H67" s="139">
        <v>0.4</v>
      </c>
      <c r="I67" s="139">
        <v>0.5</v>
      </c>
      <c r="J67" s="139">
        <v>0.6</v>
      </c>
      <c r="K67" s="139">
        <v>0.7</v>
      </c>
      <c r="L67" s="139">
        <v>0.8</v>
      </c>
      <c r="M67" s="139">
        <v>0.9</v>
      </c>
      <c r="N67" s="62"/>
    </row>
    <row r="68" spans="3:14">
      <c r="C68" s="10" t="s">
        <v>112</v>
      </c>
      <c r="D68" s="141">
        <v>1954.1046142578125</v>
      </c>
      <c r="E68" s="141">
        <v>1872.3968505859375</v>
      </c>
      <c r="F68" s="141">
        <v>1772.0916748046875</v>
      </c>
      <c r="G68" s="141">
        <v>1676.0162353515625</v>
      </c>
      <c r="H68" s="141">
        <v>1588.0645751953125</v>
      </c>
      <c r="I68" s="141">
        <v>1508.3038330078125</v>
      </c>
      <c r="J68" s="141">
        <v>1435.9954833984375</v>
      </c>
      <c r="K68" s="141">
        <v>1370.3338623046875</v>
      </c>
      <c r="L68" s="141">
        <v>1310.4461669921875</v>
      </c>
      <c r="M68" s="141">
        <v>1255.7281494140625</v>
      </c>
      <c r="N68" s="62"/>
    </row>
    <row r="69" spans="3:14">
      <c r="C69" s="2" t="s">
        <v>13</v>
      </c>
      <c r="D69" s="186">
        <v>9.1058222588623252E-3</v>
      </c>
      <c r="E69" s="186">
        <v>2.6523311711836284E-3</v>
      </c>
      <c r="F69" s="186">
        <v>8.6692878653662282E-4</v>
      </c>
      <c r="G69" s="186">
        <v>3.0483610750896224E-4</v>
      </c>
      <c r="H69" s="186">
        <v>1.1290572070369679E-4</v>
      </c>
      <c r="I69" s="186">
        <v>4.3514766532194662E-5</v>
      </c>
      <c r="J69" s="186">
        <v>1.732039028042339E-5</v>
      </c>
      <c r="K69" s="186">
        <v>7.0894742130613769E-6</v>
      </c>
      <c r="L69" s="186">
        <v>2.9714451089165784E-6</v>
      </c>
      <c r="M69" s="186">
        <v>1.2739344124665427E-6</v>
      </c>
      <c r="N69" s="185"/>
    </row>
    <row r="70" spans="3:14">
      <c r="C70" s="2" t="s">
        <v>141</v>
      </c>
      <c r="D70" s="187">
        <v>8.522755727795206E-2</v>
      </c>
      <c r="E70" s="187">
        <v>8.4252009713486814E-2</v>
      </c>
      <c r="F70" s="187">
        <v>7.9499696985561627E-2</v>
      </c>
      <c r="G70" s="187">
        <v>7.4388745156566558E-2</v>
      </c>
      <c r="H70" s="187">
        <v>6.9638662297411891E-2</v>
      </c>
      <c r="I70" s="187">
        <v>6.5372624185273842E-2</v>
      </c>
      <c r="J70" s="187">
        <v>6.1567776765737062E-2</v>
      </c>
      <c r="K70" s="187">
        <v>5.8169415523046331E-2</v>
      </c>
      <c r="L70" s="187">
        <v>5.5121732620139807E-2</v>
      </c>
      <c r="M70" s="187">
        <v>5.2375457617979848E-2</v>
      </c>
      <c r="N70" s="186"/>
    </row>
    <row r="71" spans="3:14">
      <c r="C71" s="2" t="s">
        <v>23</v>
      </c>
      <c r="D71" s="186">
        <v>1.4362667507262926E-8</v>
      </c>
      <c r="E71" s="186">
        <v>5.3797695583094778E-9</v>
      </c>
      <c r="F71" s="186">
        <v>1.4427692266657566E-9</v>
      </c>
      <c r="G71" s="186">
        <v>3.6012345069859508E-10</v>
      </c>
      <c r="H71" s="186">
        <v>8.9165748754346612E-11</v>
      </c>
      <c r="I71" s="186">
        <v>2.2324580211395529E-11</v>
      </c>
      <c r="J71" s="186">
        <v>5.6912187655516524E-12</v>
      </c>
      <c r="K71" s="186">
        <v>1.482854442624911E-12</v>
      </c>
      <c r="L71" s="186">
        <v>3.9470670869476573E-13</v>
      </c>
      <c r="M71" s="186">
        <v>1.0761037173491649E-13</v>
      </c>
      <c r="N71" s="186"/>
    </row>
    <row r="72" spans="3:14">
      <c r="C72" s="2" t="s">
        <v>142</v>
      </c>
      <c r="D72" s="187">
        <v>0.70876734812383591</v>
      </c>
      <c r="E72" s="187">
        <v>0.71763028369574289</v>
      </c>
      <c r="F72" s="187">
        <v>0.72387894811554376</v>
      </c>
      <c r="G72" s="187">
        <v>0.72897569178383093</v>
      </c>
      <c r="H72" s="187">
        <v>0.73330939797447714</v>
      </c>
      <c r="I72" s="187">
        <v>0.73706065538483667</v>
      </c>
      <c r="J72" s="187">
        <v>0.74034271086891856</v>
      </c>
      <c r="K72" s="187">
        <v>0.74323758281766816</v>
      </c>
      <c r="L72" s="187">
        <v>0.74580909413427965</v>
      </c>
      <c r="M72" s="187">
        <v>0.74810751060314595</v>
      </c>
      <c r="N72" s="186"/>
    </row>
    <row r="73" spans="3:14">
      <c r="C73" s="2" t="s">
        <v>143</v>
      </c>
      <c r="D73" s="186">
        <v>9.4288762316631148E-8</v>
      </c>
      <c r="E73" s="186">
        <v>1.5250855051566748E-7</v>
      </c>
      <c r="F73" s="186">
        <v>1.6216684917136928E-7</v>
      </c>
      <c r="G73" s="186">
        <v>1.5027674700788564E-7</v>
      </c>
      <c r="H73" s="186">
        <v>1.3124374757278701E-7</v>
      </c>
      <c r="I73" s="186">
        <v>1.1128552062299036E-7</v>
      </c>
      <c r="J73" s="186">
        <v>9.2857765415946333E-8</v>
      </c>
      <c r="K73" s="186">
        <v>7.6800257512865564E-8</v>
      </c>
      <c r="L73" s="186">
        <v>6.3199989935304987E-8</v>
      </c>
      <c r="M73" s="186">
        <v>5.189670596272483E-8</v>
      </c>
      <c r="N73" s="186"/>
    </row>
    <row r="74" spans="3:14">
      <c r="C74" s="2" t="s">
        <v>144</v>
      </c>
      <c r="D74" s="186">
        <v>1.9862494749459357E-3</v>
      </c>
      <c r="E74" s="186">
        <v>3.1867264378853183E-3</v>
      </c>
      <c r="F74" s="186">
        <v>3.3608608523412395E-3</v>
      </c>
      <c r="G74" s="186">
        <v>3.0846421660265721E-3</v>
      </c>
      <c r="H74" s="186">
        <v>2.6670309925401468E-3</v>
      </c>
      <c r="I74" s="186">
        <v>2.236990122023292E-3</v>
      </c>
      <c r="J74" s="186">
        <v>1.8450461635888457E-3</v>
      </c>
      <c r="K74" s="186">
        <v>1.5074761379520584E-3</v>
      </c>
      <c r="L74" s="186">
        <v>1.2248210606758286E-3</v>
      </c>
      <c r="M74" s="186">
        <v>9.9260205201734983E-4</v>
      </c>
      <c r="N74" s="186"/>
    </row>
    <row r="75" spans="3:14">
      <c r="C75" s="2" t="s">
        <v>22</v>
      </c>
      <c r="D75" s="186">
        <v>2.1494650778387708E-4</v>
      </c>
      <c r="E75" s="186">
        <v>2.4398108384315407E-4</v>
      </c>
      <c r="F75" s="186">
        <v>1.6274574255976129E-4</v>
      </c>
      <c r="G75" s="186">
        <v>9.2322188669381904E-5</v>
      </c>
      <c r="H75" s="186">
        <v>4.9245021797849652E-5</v>
      </c>
      <c r="I75" s="186">
        <v>2.5601366017544755E-5</v>
      </c>
      <c r="J75" s="186">
        <v>1.317847920220615E-5</v>
      </c>
      <c r="K75" s="186">
        <v>6.7744225967771791E-6</v>
      </c>
      <c r="L75" s="186">
        <v>3.4902732456552063E-6</v>
      </c>
      <c r="M75" s="186">
        <v>1.8091754408054737E-6</v>
      </c>
      <c r="N75" s="186"/>
    </row>
    <row r="76" spans="3:14">
      <c r="C76" s="2" t="s">
        <v>145</v>
      </c>
      <c r="D76" s="187">
        <v>4.56035438546642E-3</v>
      </c>
      <c r="E76" s="187">
        <v>1.6815752016929891E-2</v>
      </c>
      <c r="F76" s="187">
        <v>3.0487934184519672E-2</v>
      </c>
      <c r="G76" s="187">
        <v>4.3102877927585909E-2</v>
      </c>
      <c r="H76" s="187">
        <v>5.4296183520631508E-2</v>
      </c>
      <c r="I76" s="187">
        <v>6.4161029377316173E-2</v>
      </c>
      <c r="J76" s="187">
        <v>7.2875398505797009E-2</v>
      </c>
      <c r="K76" s="187">
        <v>8.061235256403762E-2</v>
      </c>
      <c r="L76" s="187">
        <v>8.7521106116115868E-2</v>
      </c>
      <c r="M76" s="187">
        <v>9.3724921795647509E-2</v>
      </c>
      <c r="N76" s="186"/>
    </row>
    <row r="77" spans="3:14">
      <c r="C77" s="2" t="s">
        <v>146</v>
      </c>
      <c r="D77" s="186">
        <v>3.6794844084598755E-3</v>
      </c>
      <c r="E77" s="186">
        <v>1.0653247228519639E-3</v>
      </c>
      <c r="F77" s="186">
        <v>3.6816565433846725E-4</v>
      </c>
      <c r="G77" s="186">
        <v>1.391851928909205E-4</v>
      </c>
      <c r="H77" s="186">
        <v>5.572742609465546E-5</v>
      </c>
      <c r="I77" s="186">
        <v>2.3264035288718876E-5</v>
      </c>
      <c r="J77" s="186">
        <v>1.0037902337348428E-5</v>
      </c>
      <c r="K77" s="186">
        <v>4.4548500155180055E-6</v>
      </c>
      <c r="L77" s="186">
        <v>2.0246439740283884E-6</v>
      </c>
      <c r="M77" s="186">
        <v>9.4100589739738802E-7</v>
      </c>
      <c r="N77" s="186"/>
    </row>
    <row r="78" spans="3:14">
      <c r="C78" s="2" t="s">
        <v>147</v>
      </c>
      <c r="D78" s="187">
        <v>0.18351642054791367</v>
      </c>
      <c r="E78" s="187">
        <v>0.17133328104936749</v>
      </c>
      <c r="F78" s="187">
        <v>0.15935561587008509</v>
      </c>
      <c r="G78" s="187">
        <v>0.14858440635146217</v>
      </c>
      <c r="H78" s="187">
        <v>0.13902410178837166</v>
      </c>
      <c r="I78" s="187">
        <v>0.1305418183096915</v>
      </c>
      <c r="J78" s="187">
        <v>0.12299187434183295</v>
      </c>
      <c r="K78" s="187">
        <v>0.11624233288114533</v>
      </c>
      <c r="L78" s="187">
        <v>0.11018007079895684</v>
      </c>
      <c r="M78" s="187">
        <v>0.10470961264206545</v>
      </c>
    </row>
    <row r="79" spans="3:14">
      <c r="C79" s="2" t="s">
        <v>148</v>
      </c>
      <c r="D79" s="186">
        <v>2.941708363350018E-3</v>
      </c>
      <c r="E79" s="186">
        <v>2.8201522203887492E-3</v>
      </c>
      <c r="F79" s="186">
        <v>2.0189401988955436E-3</v>
      </c>
      <c r="G79" s="186">
        <v>1.3271424885882511E-3</v>
      </c>
      <c r="H79" s="186">
        <v>8.4661392505820372E-4</v>
      </c>
      <c r="I79" s="186">
        <v>5.343911451748171E-4</v>
      </c>
      <c r="J79" s="186">
        <v>3.3656371884883154E-4</v>
      </c>
      <c r="K79" s="186">
        <v>2.124445275847162E-4</v>
      </c>
      <c r="L79" s="186">
        <v>1.3462570711894779E-4</v>
      </c>
      <c r="M79" s="186">
        <v>8.5819276579647896E-5</v>
      </c>
    </row>
    <row r="81" spans="3:13" ht="13.8">
      <c r="G81" s="177" t="s">
        <v>136</v>
      </c>
      <c r="H81" s="171"/>
      <c r="I81" s="188"/>
    </row>
    <row r="82" spans="3:13">
      <c r="C82" s="20" t="s">
        <v>87</v>
      </c>
      <c r="D82" s="189">
        <v>0</v>
      </c>
      <c r="E82" s="189">
        <v>0.1</v>
      </c>
      <c r="F82" s="189">
        <v>0.2</v>
      </c>
      <c r="G82" s="189">
        <v>0.3</v>
      </c>
      <c r="H82" s="189">
        <v>0.4</v>
      </c>
      <c r="I82" s="189">
        <v>0.5</v>
      </c>
      <c r="J82" s="189">
        <v>0.6</v>
      </c>
      <c r="K82" s="189">
        <v>0.7</v>
      </c>
      <c r="L82" s="189">
        <v>0.8</v>
      </c>
      <c r="M82" s="189">
        <v>0.9</v>
      </c>
    </row>
    <row r="83" spans="3:13">
      <c r="C83" s="10" t="s">
        <v>112</v>
      </c>
      <c r="D83" s="190">
        <v>2026.873779296875</v>
      </c>
      <c r="E83" s="190">
        <v>1952.044677734375</v>
      </c>
      <c r="F83" s="190">
        <v>1852.069091796875</v>
      </c>
      <c r="G83" s="190">
        <v>1748.309326171875</v>
      </c>
      <c r="H83" s="190">
        <v>1650.653076171875</v>
      </c>
      <c r="I83" s="190">
        <v>1561.785888671875</v>
      </c>
      <c r="J83" s="190">
        <v>1481.768798828125</v>
      </c>
      <c r="K83" s="190">
        <v>1409.625244140625</v>
      </c>
      <c r="L83" s="190">
        <v>1344.378662109375</v>
      </c>
      <c r="M83" s="190">
        <v>1285.113525390625</v>
      </c>
    </row>
    <row r="84" spans="3:13">
      <c r="C84" s="191" t="s">
        <v>13</v>
      </c>
      <c r="D84" s="192">
        <v>2.2339145721359605E-2</v>
      </c>
      <c r="E84" s="193">
        <v>8.8949527953707114E-3</v>
      </c>
      <c r="F84" s="193">
        <v>3.263496776275035E-3</v>
      </c>
      <c r="G84" s="193">
        <v>1.1628939706661858E-3</v>
      </c>
      <c r="H84" s="193">
        <v>4.197440472038759E-4</v>
      </c>
      <c r="I84" s="193">
        <v>1.5580961555527686E-4</v>
      </c>
      <c r="J84" s="193">
        <v>5.9711032510415094E-5</v>
      </c>
      <c r="K84" s="193">
        <v>2.3562524955542173E-5</v>
      </c>
      <c r="L84" s="193">
        <v>9.5508100468402147E-6</v>
      </c>
      <c r="M84" s="193">
        <v>3.9663557327942355E-6</v>
      </c>
    </row>
    <row r="85" spans="3:13">
      <c r="C85" s="191" t="s">
        <v>141</v>
      </c>
      <c r="D85" s="194">
        <v>0.18526145290837298</v>
      </c>
      <c r="E85" s="194">
        <v>0.18111783060634923</v>
      </c>
      <c r="F85" s="194">
        <v>0.17142094356658991</v>
      </c>
      <c r="G85" s="194">
        <v>0.16026476834122691</v>
      </c>
      <c r="H85" s="194">
        <v>0.14953923912558573</v>
      </c>
      <c r="I85" s="194">
        <v>0.13982743353243271</v>
      </c>
      <c r="J85" s="194">
        <v>0.13118232892542217</v>
      </c>
      <c r="K85" s="194">
        <v>0.12350126347620242</v>
      </c>
      <c r="L85" s="194">
        <v>0.11665391596451519</v>
      </c>
      <c r="M85" s="194">
        <v>0.11051977354220179</v>
      </c>
    </row>
    <row r="86" spans="3:13">
      <c r="C86" s="191" t="s">
        <v>23</v>
      </c>
      <c r="D86" s="192">
        <v>3.4239148831225665E-8</v>
      </c>
      <c r="E86" s="192">
        <v>1.4747803641377544E-8</v>
      </c>
      <c r="F86" s="192">
        <v>4.3525919433534259E-9</v>
      </c>
      <c r="G86" s="192">
        <v>1.0794671165696315E-9</v>
      </c>
      <c r="H86" s="192">
        <v>2.5342146630053865E-10</v>
      </c>
      <c r="I86" s="192">
        <v>5.9319017534849636E-11</v>
      </c>
      <c r="J86" s="192">
        <v>1.4157830756289239E-11</v>
      </c>
      <c r="K86" s="192">
        <v>3.463974084503248E-12</v>
      </c>
      <c r="L86" s="192">
        <v>8.707485839595045E-13</v>
      </c>
      <c r="M86" s="192">
        <v>2.248528277182708E-13</v>
      </c>
    </row>
    <row r="87" spans="3:13">
      <c r="C87" s="191" t="s">
        <v>142</v>
      </c>
      <c r="D87" s="194">
        <v>0.779262123243187</v>
      </c>
      <c r="E87" s="194">
        <v>0.78407539848686969</v>
      </c>
      <c r="F87" s="194">
        <v>0.78632643681351488</v>
      </c>
      <c r="G87" s="194">
        <v>0.78743207897976952</v>
      </c>
      <c r="H87" s="194">
        <v>0.78806517132374276</v>
      </c>
      <c r="I87" s="194">
        <v>0.78849145962522604</v>
      </c>
      <c r="J87" s="194">
        <v>0.78880749843129594</v>
      </c>
      <c r="K87" s="194">
        <v>0.78905253857018487</v>
      </c>
      <c r="L87" s="194">
        <v>0.78924556909289678</v>
      </c>
      <c r="M87" s="194">
        <v>0.78939844575139817</v>
      </c>
    </row>
    <row r="88" spans="3:13">
      <c r="C88" s="191" t="s">
        <v>143</v>
      </c>
      <c r="D88" s="192">
        <v>1.7177275046022657E-7</v>
      </c>
      <c r="E88" s="192">
        <v>2.228003960529557E-7</v>
      </c>
      <c r="F88" s="192">
        <v>2.2703625639438907E-7</v>
      </c>
      <c r="G88" s="192">
        <v>2.0573820213336735E-7</v>
      </c>
      <c r="H88" s="192">
        <v>1.7603349438443516E-7</v>
      </c>
      <c r="I88" s="192">
        <v>1.4627129483099976E-7</v>
      </c>
      <c r="J88" s="192">
        <v>1.1981119551140298E-7</v>
      </c>
      <c r="K88" s="192">
        <v>9.7419201582662313E-8</v>
      </c>
      <c r="L88" s="192">
        <v>7.8949521927644807E-8</v>
      </c>
      <c r="M88" s="192">
        <v>6.3914614205938965E-8</v>
      </c>
    </row>
    <row r="89" spans="3:13">
      <c r="C89" s="191" t="s">
        <v>144</v>
      </c>
      <c r="D89" s="192">
        <v>3.4539757954371898E-3</v>
      </c>
      <c r="E89" s="192">
        <v>4.4621826779876091E-3</v>
      </c>
      <c r="F89" s="192">
        <v>4.5291571926304652E-3</v>
      </c>
      <c r="G89" s="192">
        <v>4.083285836149482E-3</v>
      </c>
      <c r="H89" s="192">
        <v>3.4688539970512099E-3</v>
      </c>
      <c r="I89" s="192">
        <v>2.8592723946744775E-3</v>
      </c>
      <c r="J89" s="192">
        <v>2.3205378412369049E-3</v>
      </c>
      <c r="K89" s="192">
        <v>1.8676727524391287E-3</v>
      </c>
      <c r="L89" s="192">
        <v>1.4969673687995485E-3</v>
      </c>
      <c r="M89" s="192">
        <v>1.1977569485714557E-3</v>
      </c>
    </row>
    <row r="90" spans="3:13">
      <c r="C90" s="191" t="s">
        <v>22</v>
      </c>
      <c r="D90" s="193">
        <v>4.7289051142679594E-4</v>
      </c>
      <c r="E90" s="193">
        <v>4.553311817923151E-4</v>
      </c>
      <c r="F90" s="193">
        <v>3.031952341366096E-4</v>
      </c>
      <c r="G90" s="193">
        <v>1.6913811462830706E-4</v>
      </c>
      <c r="H90" s="193">
        <v>8.733186102956104E-5</v>
      </c>
      <c r="I90" s="193">
        <v>4.3723743883813531E-5</v>
      </c>
      <c r="J90" s="193">
        <v>2.1707067535012092E-5</v>
      </c>
      <c r="K90" s="193">
        <v>1.0782061908226256E-5</v>
      </c>
      <c r="L90" s="193">
        <v>5.3845228725696371E-6</v>
      </c>
      <c r="M90" s="193">
        <v>2.7098613093614101E-6</v>
      </c>
    </row>
    <row r="91" spans="3:13">
      <c r="C91" s="191" t="s">
        <v>145</v>
      </c>
      <c r="D91" s="192">
        <v>9.2102058083170079E-3</v>
      </c>
      <c r="E91" s="192">
        <v>2.0994066703430868E-2</v>
      </c>
      <c r="F91" s="192">
        <v>3.4156539028004695E-2</v>
      </c>
      <c r="G91" s="192">
        <v>4.6887627939890403E-2</v>
      </c>
      <c r="H91" s="192">
        <v>5.8419483358470935E-2</v>
      </c>
      <c r="I91" s="192">
        <v>6.8622154757613837E-2</v>
      </c>
      <c r="J91" s="192">
        <v>7.7608096876646229E-2</v>
      </c>
      <c r="K91" s="192">
        <v>8.5544083191644318E-2</v>
      </c>
      <c r="L91" s="192">
        <v>9.2588533290476435E-2</v>
      </c>
      <c r="M91" s="192">
        <v>9.8877283625947304E-2</v>
      </c>
    </row>
  </sheetData>
  <mergeCells count="1">
    <mergeCell ref="E2:H2"/>
  </mergeCells>
  <pageMargins left="0.7" right="0.7" top="0.75" bottom="0.75" header="0.3" footer="0.3"/>
  <pageSetup orientation="portrait" verticalDpi="300" r:id="rId1"/>
  <drawing r:id="rId2"/>
  <legacyDrawing r:id="rId3"/>
  <oleObjects>
    <mc:AlternateContent xmlns:mc="http://schemas.openxmlformats.org/markup-compatibility/2006">
      <mc:Choice Requires="x14">
        <oleObject progId="Wordpad.Document.1" dvAspect="DVASPECT_ICON" shapeId="7169" r:id="rId4">
          <objectPr defaultSize="0" r:id="rId5">
            <anchor moveWithCells="1">
              <from>
                <xdr:col>10</xdr:col>
                <xdr:colOff>0</xdr:colOff>
                <xdr:row>3</xdr:row>
                <xdr:rowOff>0</xdr:rowOff>
              </from>
              <to>
                <xdr:col>11</xdr:col>
                <xdr:colOff>304800</xdr:colOff>
                <xdr:row>7</xdr:row>
                <xdr:rowOff>121920</xdr:rowOff>
              </to>
            </anchor>
          </objectPr>
        </oleObject>
      </mc:Choice>
      <mc:Fallback>
        <oleObject progId="Wordpad.Document.1" dvAspect="DVASPECT_ICON" shapeId="716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MainEntry&amp;Data</vt:lpstr>
      <vt:lpstr>Calcs</vt:lpstr>
      <vt:lpstr>StoredResults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</dc:creator>
  <cp:lastModifiedBy>thermart</cp:lastModifiedBy>
  <cp:lastPrinted>2012-04-24T22:03:55Z</cp:lastPrinted>
  <dcterms:created xsi:type="dcterms:W3CDTF">2012-04-18T02:58:23Z</dcterms:created>
  <dcterms:modified xsi:type="dcterms:W3CDTF">2013-03-28T18:37:11Z</dcterms:modified>
</cp:coreProperties>
</file>